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8" activeTab="4"/>
  </bookViews>
  <sheets>
    <sheet name="fin verslag 2010" sheetId="1" r:id="rId1"/>
    <sheet name="balans 2010" sheetId="2" r:id="rId2"/>
    <sheet name="uitgaven 2010" sheetId="3" r:id="rId3"/>
    <sheet name="GrootOnderhoud.2010" sheetId="4" r:id="rId4"/>
    <sheet name="Ontvangen van Leden 2010" sheetId="5" r:id="rId5"/>
    <sheet name="Verrekend met leden ivm schuld 2010" sheetId="6" r:id="rId6"/>
    <sheet name="Transitoria 2010" sheetId="7" r:id="rId7"/>
    <sheet name="Overig 2010" sheetId="8" r:id="rId8"/>
    <sheet name="Lening.ledenVVE.2010" sheetId="9" r:id="rId9"/>
  </sheets>
  <definedNames>
    <definedName name="_xlnm.Print_Area" localSheetId="1">'balans 2010'!$A$1:$I$43</definedName>
    <definedName name="_xlnm.Print_Area" localSheetId="0">'fin verslag 2010'!$A$1:$P$46</definedName>
    <definedName name="_xlnm.Print_Area" localSheetId="4">'Ontvangen van Leden 2010'!$A$1:$S$40</definedName>
    <definedName name="_xlnm.Print_Area" localSheetId="7">'Overig 2010'!$A$1:$L$58</definedName>
    <definedName name="Excel_BuiltIn_Print_Area_5">'Ontvangen van Leden 2010'!$A$1:$S$39</definedName>
    <definedName name="Excel_BuiltIn_Print_Area_8_1">'Overig 2010'!$B$1:$G$18</definedName>
    <definedName name="Excel_BuiltIn_Print_Area_3">'uitgaven 2010'!$H$6:$K$25</definedName>
    <definedName name="Excel_BuiltIn_Print_Area_7">#REF!</definedName>
    <definedName name="Excel_BuiltIn_Print_Area_5_1">#REF!</definedName>
    <definedName name="Excel_BuiltIn_Print_Area_8_11">#REF!</definedName>
  </definedNames>
  <calcPr fullCalcOnLoad="1"/>
</workbook>
</file>

<file path=xl/sharedStrings.xml><?xml version="1.0" encoding="utf-8"?>
<sst xmlns="http://schemas.openxmlformats.org/spreadsheetml/2006/main" count="711" uniqueCount="482">
  <si>
    <t xml:space="preserve"> </t>
  </si>
  <si>
    <t>Financieel verslag 2010 VVE / Woonvereniging Willemina</t>
  </si>
  <si>
    <t>Uitgaven</t>
  </si>
  <si>
    <t>begroot</t>
  </si>
  <si>
    <t>Gerealiseerd</t>
  </si>
  <si>
    <t>Opmerkingen</t>
  </si>
  <si>
    <t>Groot onderhoud</t>
  </si>
  <si>
    <t>Incl 2000 euro nabetaling aannemer 2009</t>
  </si>
  <si>
    <t>voorziening</t>
  </si>
  <si>
    <t>verwachting</t>
  </si>
  <si>
    <t>Klein onderhoud</t>
  </si>
  <si>
    <t>Onderhoud Gemeenschap Ruimte</t>
  </si>
  <si>
    <t>Niet gedaan wegens geen liq middelen.</t>
  </si>
  <si>
    <t>Gemeenschappelijke Ruimte</t>
  </si>
  <si>
    <t>Tuin</t>
  </si>
  <si>
    <t>Installaties</t>
  </si>
  <si>
    <t>Verzekeringen (WA/Brand/Opstal/ aansprakelijkheid)</t>
  </si>
  <si>
    <t>Water</t>
  </si>
  <si>
    <t>Energie</t>
  </si>
  <si>
    <t>Schoonmaak</t>
  </si>
  <si>
    <t>Gemeentelijke heffingen</t>
  </si>
  <si>
    <t>Divers</t>
  </si>
  <si>
    <t>Toevoeging Calamiteiten</t>
  </si>
  <si>
    <t>reeel</t>
  </si>
  <si>
    <t>Onderhoud lift</t>
  </si>
  <si>
    <t>Wordt opgenomen in de algemene voorziening.</t>
  </si>
  <si>
    <t>reeel onderhoud</t>
  </si>
  <si>
    <t>Afschrijving lift (voorziening)</t>
  </si>
  <si>
    <t>Komt ook te vervallen, komt bij Groot Onderhoud.</t>
  </si>
  <si>
    <t>Servicecontract lift</t>
  </si>
  <si>
    <t>Taxaties</t>
  </si>
  <si>
    <t>Rente lening 2009</t>
  </si>
  <si>
    <t>Rente lening  2010</t>
  </si>
  <si>
    <t>Aflossing 2010</t>
  </si>
  <si>
    <t>Sociale Cohesie Commissie</t>
  </si>
  <si>
    <t>Totaal</t>
  </si>
  <si>
    <t>controle uitgaven is (totaal minus afschrijving+onderhoud lift+ voorz.onderhoud)</t>
  </si>
  <si>
    <t>Inkomsten</t>
  </si>
  <si>
    <t>Servicekosten inclusief lift</t>
  </si>
  <si>
    <t>Lift vervalt ook hier.</t>
  </si>
  <si>
    <t>SGCA + overig</t>
  </si>
  <si>
    <t>Daadwerk. Onvangen in 2010</t>
  </si>
  <si>
    <t>Tientjesleden + rente ING</t>
  </si>
  <si>
    <t>Rente</t>
  </si>
  <si>
    <t>Onttrekking voorz. groot ond</t>
  </si>
  <si>
    <t>Onttrekking voorz. alg reserve</t>
  </si>
  <si>
    <t>min betekent toevoeging</t>
  </si>
  <si>
    <t>Balans per 31-12-2010 – VVE / Woonvereniging Willemina</t>
  </si>
  <si>
    <t>Activa per</t>
  </si>
  <si>
    <t>31-12-2009</t>
  </si>
  <si>
    <t>Toelichting 2009 (vorig jaar)</t>
  </si>
  <si>
    <t>31-12-2010</t>
  </si>
  <si>
    <t>Toelichting 2010</t>
  </si>
  <si>
    <t>Vordering leden</t>
  </si>
  <si>
    <t>Vordering SGCA</t>
  </si>
  <si>
    <t>reguliere zaken</t>
  </si>
  <si>
    <t>aanvullend op Groot Onderhoud t/m 31/12/09</t>
  </si>
  <si>
    <t>Vordering diversen</t>
  </si>
  <si>
    <t>Verzekering ruiten SchepEngel</t>
  </si>
  <si>
    <t>Vooruitbetaalde crediteuren</t>
  </si>
  <si>
    <t>Verzek. Premies opstal</t>
  </si>
  <si>
    <t>Zakenrekening VSB</t>
  </si>
  <si>
    <t>Stand 31-12-2009</t>
  </si>
  <si>
    <t>Rek Courant AAB</t>
  </si>
  <si>
    <t>Flexibel deposito</t>
  </si>
  <si>
    <t>Flex Deposito AAB</t>
  </si>
  <si>
    <t>Saldo Postbankrekening:</t>
  </si>
  <si>
    <t>ING rek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</si>
  <si>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</si>
  <si>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Passiva per</t>
  </si>
  <si>
    <t>Vooruitbetaald leden</t>
  </si>
  <si>
    <t>Openstaande crediteuren</t>
  </si>
  <si>
    <t>Rente leden sept – dec 2009 (corr 2010)</t>
  </si>
  <si>
    <t>Wat is er na 1/1/11 betaald over 2010</t>
  </si>
  <si>
    <t>Voorziening groot onderhoud</t>
  </si>
  <si>
    <t>Voorziening Reserves</t>
  </si>
  <si>
    <t>incl. toevoeging vanuit fin.verslag</t>
  </si>
  <si>
    <t>Voorziening lift hierbij gevoegd</t>
  </si>
  <si>
    <t>Voorziening lift</t>
  </si>
  <si>
    <t xml:space="preserve">Balansverschil </t>
  </si>
  <si>
    <t xml:space="preserve">Schuld bij leden per 31-12: </t>
  </si>
  <si>
    <t>Niet in balans opgenomen in 2009, want is tegelijk een vordering op de leden</t>
  </si>
  <si>
    <t xml:space="preserve">UITGAVEN </t>
  </si>
  <si>
    <t>totaal</t>
  </si>
  <si>
    <t>datum</t>
  </si>
  <si>
    <t>aan</t>
  </si>
  <si>
    <t>bedrag</t>
  </si>
  <si>
    <t>grootboek</t>
  </si>
  <si>
    <t>referentie</t>
  </si>
  <si>
    <t>Diversen</t>
  </si>
  <si>
    <t>diversen</t>
  </si>
  <si>
    <t>div8</t>
  </si>
  <si>
    <r>
      <t xml:space="preserve">Door te berekenen </t>
    </r>
    <r>
      <rPr>
        <b/>
        <sz val="9"/>
        <rFont val="Arial"/>
        <family val="2"/>
      </rPr>
      <t>kosten</t>
    </r>
    <r>
      <rPr>
        <sz val="9"/>
        <rFont val="Arial"/>
        <family val="2"/>
      </rPr>
      <t xml:space="preserve"> aan SGCA over 2010:</t>
    </r>
  </si>
  <si>
    <t>div9</t>
  </si>
  <si>
    <t>Caroline</t>
  </si>
  <si>
    <t>div7</t>
  </si>
  <si>
    <t>Hans de Vries</t>
  </si>
  <si>
    <t>div4</t>
  </si>
  <si>
    <t>VVE Belang</t>
  </si>
  <si>
    <t>div5</t>
  </si>
  <si>
    <t>Centraal Beheer Achmea</t>
  </si>
  <si>
    <t>verzekeringen</t>
  </si>
  <si>
    <t>div1</t>
  </si>
  <si>
    <t xml:space="preserve">Goudse Opstal ed. </t>
  </si>
  <si>
    <t>div2</t>
  </si>
  <si>
    <t>Facta pompen</t>
  </si>
  <si>
    <t>div3</t>
  </si>
  <si>
    <t>RAPS schilder</t>
  </si>
  <si>
    <t>KVK</t>
  </si>
  <si>
    <t>Div6-8</t>
  </si>
  <si>
    <t>Kleine kosten penningmeester</t>
  </si>
  <si>
    <t>div11</t>
  </si>
  <si>
    <t>Annette Schermer</t>
  </si>
  <si>
    <t>div10</t>
  </si>
  <si>
    <t>Kleine kosten Penningmeester</t>
  </si>
  <si>
    <t>Div klein onderhoud</t>
  </si>
  <si>
    <t>Odhk11, 5, 6</t>
  </si>
  <si>
    <t>Bank kosten</t>
  </si>
  <si>
    <t>Divers zonder bon</t>
  </si>
  <si>
    <t>Kosten VVE vergad. Margreet / Pasteuning</t>
  </si>
  <si>
    <t>scc1</t>
  </si>
  <si>
    <t>.</t>
  </si>
  <si>
    <t>10 % van totale bedrag SGCA</t>
  </si>
  <si>
    <t>`</t>
  </si>
  <si>
    <t>Totaal Divers</t>
  </si>
  <si>
    <t>Terug ontvangen nov 2010</t>
  </si>
  <si>
    <t>energie</t>
  </si>
  <si>
    <t>stroom1</t>
  </si>
  <si>
    <t>Jan</t>
  </si>
  <si>
    <t>feb</t>
  </si>
  <si>
    <t>mrt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</si>
  <si>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</si>
  <si>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</si>
  <si>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</si>
  <si>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</si>
  <si>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</si>
  <si>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</si>
  <si>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</si>
  <si>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</si>
  <si>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</si>
  <si>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>Totaal Energie</t>
  </si>
  <si>
    <t>Annegeer</t>
  </si>
  <si>
    <t>gem ruimte</t>
  </si>
  <si>
    <t>gs1</t>
  </si>
  <si>
    <t>ChemDry vloer GS reinigen</t>
  </si>
  <si>
    <t>gs5</t>
  </si>
  <si>
    <t>Beamer GS</t>
  </si>
  <si>
    <t>gs4</t>
  </si>
  <si>
    <t>GOK ketel onderhoud GS</t>
  </si>
  <si>
    <t>gs3</t>
  </si>
  <si>
    <t>Annegeer divers GS</t>
  </si>
  <si>
    <t>gs2</t>
  </si>
  <si>
    <t>Totaal GR</t>
  </si>
  <si>
    <t>Dienst belastingen 2010 WOZ etc</t>
  </si>
  <si>
    <t>heffingen</t>
  </si>
  <si>
    <t>belast1</t>
  </si>
  <si>
    <t>Totaal Heffingen</t>
  </si>
  <si>
    <t>GOK</t>
  </si>
  <si>
    <t>installaties</t>
  </si>
  <si>
    <t>Totaal Installaties</t>
  </si>
  <si>
    <t>Scholts</t>
  </si>
  <si>
    <t>klein onderhoud</t>
  </si>
  <si>
    <t>odhk5 en 6</t>
  </si>
  <si>
    <t>Glasspecialist</t>
  </si>
  <si>
    <t>odhk4</t>
  </si>
  <si>
    <t>Videler beveiliging</t>
  </si>
  <si>
    <t>odhk3</t>
  </si>
  <si>
    <t>Electro Walst</t>
  </si>
  <si>
    <t>odhk1</t>
  </si>
  <si>
    <t>Rodeka</t>
  </si>
  <si>
    <t>odhk2</t>
  </si>
  <si>
    <t>odhk15</t>
  </si>
  <si>
    <t>Raps Schilders</t>
  </si>
  <si>
    <t>odhk14</t>
  </si>
  <si>
    <t>odhk13</t>
  </si>
  <si>
    <t>Facta pompen en uniliften</t>
  </si>
  <si>
    <t>odhk12</t>
  </si>
  <si>
    <t>Scholts dakgoot</t>
  </si>
  <si>
    <t>odhk11</t>
  </si>
  <si>
    <t>Scholts Anna Speng 115</t>
  </si>
  <si>
    <t>odhk10</t>
  </si>
  <si>
    <t>Scholts HP 8</t>
  </si>
  <si>
    <t>odhk9</t>
  </si>
  <si>
    <t>electro Walst</t>
  </si>
  <si>
    <t>odhk8</t>
  </si>
  <si>
    <t>Electranova</t>
  </si>
  <si>
    <t>odhk7</t>
  </si>
  <si>
    <t>Totaal Klein Onderhoud</t>
  </si>
  <si>
    <t>Mam's cleaningservice</t>
  </si>
  <si>
    <t>schoonmaak</t>
  </si>
  <si>
    <t>sch1</t>
  </si>
  <si>
    <t>sch2</t>
  </si>
  <si>
    <t>sch3</t>
  </si>
  <si>
    <t>sch4</t>
  </si>
  <si>
    <t>sch5</t>
  </si>
  <si>
    <t>sch6</t>
  </si>
  <si>
    <t>sch7</t>
  </si>
  <si>
    <t>sch8</t>
  </si>
  <si>
    <t>sch9</t>
  </si>
  <si>
    <t>sch10</t>
  </si>
  <si>
    <t>sch11</t>
  </si>
  <si>
    <t>sch12</t>
  </si>
  <si>
    <t>Mam's cleaningservice (2010 had 13 perioden)</t>
  </si>
  <si>
    <t>sch13</t>
  </si>
  <si>
    <t>Totaal Schoonmaak</t>
  </si>
  <si>
    <t>Margreet / Pasteuning etc</t>
  </si>
  <si>
    <t>sociale cohesie</t>
  </si>
  <si>
    <t>Correctie: zijn geen SCC kosten.</t>
  </si>
  <si>
    <t xml:space="preserve">Gusta Albert </t>
  </si>
  <si>
    <t>scc2</t>
  </si>
  <si>
    <t xml:space="preserve">Gusta  </t>
  </si>
  <si>
    <t>scc3</t>
  </si>
  <si>
    <t>Anoek</t>
  </si>
  <si>
    <t>scc4</t>
  </si>
  <si>
    <t>scc5</t>
  </si>
  <si>
    <t>Ingmar – feestverlichting</t>
  </si>
  <si>
    <t>scc6</t>
  </si>
  <si>
    <t>scc7</t>
  </si>
  <si>
    <t>scc8</t>
  </si>
  <si>
    <t>scc9</t>
  </si>
  <si>
    <t>scc10</t>
  </si>
  <si>
    <t>scc11</t>
  </si>
  <si>
    <t>scc12</t>
  </si>
  <si>
    <t>Totaal Sociale Cohesie</t>
  </si>
  <si>
    <t>Pius Floris</t>
  </si>
  <si>
    <t>tuin</t>
  </si>
  <si>
    <t>tuin1</t>
  </si>
  <si>
    <t>tuin2</t>
  </si>
  <si>
    <t>Totaal Tuin</t>
  </si>
  <si>
    <t>De Goudse</t>
  </si>
  <si>
    <t>verz1</t>
  </si>
  <si>
    <t>Centraal Beheer Achmea (betaald 2009)</t>
  </si>
  <si>
    <t>Totaal Verzekeringen</t>
  </si>
  <si>
    <t>Waternet</t>
  </si>
  <si>
    <t>watersch belast</t>
  </si>
  <si>
    <t>water1</t>
  </si>
  <si>
    <t>Totaal Water</t>
  </si>
  <si>
    <t>AB Liften</t>
  </si>
  <si>
    <t>lift</t>
  </si>
  <si>
    <t>odhl2</t>
  </si>
  <si>
    <t>Totaal lift onderhoud</t>
  </si>
  <si>
    <t>AB liften onderhoudscontract</t>
  </si>
  <si>
    <t>servicecontract</t>
  </si>
  <si>
    <t>odhl1</t>
  </si>
  <si>
    <t>Totaal servicecontract lift</t>
  </si>
  <si>
    <t>Burger Elkerbout</t>
  </si>
  <si>
    <t>Mvbb 4</t>
  </si>
  <si>
    <t>tax1</t>
  </si>
  <si>
    <t>Hp 4</t>
  </si>
  <si>
    <t>tax2</t>
  </si>
  <si>
    <t>Burger Elkerbout *</t>
  </si>
  <si>
    <t>Hp 1</t>
  </si>
  <si>
    <t>tax3</t>
  </si>
  <si>
    <t>Mvbb 16</t>
  </si>
  <si>
    <t>tax4</t>
  </si>
  <si>
    <t>Totaal Taxaties</t>
  </si>
  <si>
    <t>Facturen</t>
  </si>
  <si>
    <t>Willemina
Nummer</t>
  </si>
  <si>
    <t>Naam</t>
  </si>
  <si>
    <t>Datum betaald</t>
  </si>
  <si>
    <t>Bedrag</t>
  </si>
  <si>
    <t>acc</t>
  </si>
  <si>
    <t>odhg002</t>
  </si>
  <si>
    <t>odhg001 is vervallen → odhk006</t>
  </si>
  <si>
    <t>odhg004</t>
  </si>
  <si>
    <t>vd Burght</t>
  </si>
  <si>
    <t>odhg003 is vervallen → odhk005</t>
  </si>
  <si>
    <t>odhg005</t>
  </si>
  <si>
    <t>de Vlucht</t>
  </si>
  <si>
    <t>odgh006</t>
  </si>
  <si>
    <t>odgh017</t>
  </si>
  <si>
    <t>RAPS</t>
  </si>
  <si>
    <t>odgh016</t>
  </si>
  <si>
    <t>odgh015</t>
  </si>
  <si>
    <t>odgh014</t>
  </si>
  <si>
    <t>odgh013</t>
  </si>
  <si>
    <t>odgh012</t>
  </si>
  <si>
    <t>odgh011</t>
  </si>
  <si>
    <t>odgh010</t>
  </si>
  <si>
    <t>odgh009</t>
  </si>
  <si>
    <t>odgh008</t>
  </si>
  <si>
    <t>odgh007</t>
  </si>
  <si>
    <t>Feb</t>
  </si>
  <si>
    <t>Mrt</t>
  </si>
  <si>
    <t>April</t>
  </si>
  <si>
    <t>Mei</t>
  </si>
  <si>
    <t>Jun</t>
  </si>
  <si>
    <t>Jul</t>
  </si>
  <si>
    <t>Aug</t>
  </si>
  <si>
    <t>Sept</t>
  </si>
  <si>
    <t>Okt</t>
  </si>
  <si>
    <t>Nov</t>
  </si>
  <si>
    <t>Dec</t>
  </si>
  <si>
    <t>Totaal 
IST</t>
  </si>
  <si>
    <t>SOLL / 
Maand</t>
  </si>
  <si>
    <t># 
Mnd</t>
  </si>
  <si>
    <t>Totaal 
SOLL</t>
  </si>
  <si>
    <t>Verschil 
SOLL – IST</t>
  </si>
  <si>
    <t>ass 103</t>
  </si>
  <si>
    <t>van Eck</t>
  </si>
  <si>
    <t>ass 105</t>
  </si>
  <si>
    <t>Veldhuizen</t>
  </si>
  <si>
    <t>ass 107</t>
  </si>
  <si>
    <t>Hoogendijk</t>
  </si>
  <si>
    <t>ass 109</t>
  </si>
  <si>
    <t>Broekhuizen</t>
  </si>
  <si>
    <t>ass 111</t>
  </si>
  <si>
    <t>De Poel</t>
  </si>
  <si>
    <t>ass 113</t>
  </si>
  <si>
    <t>De Rijk</t>
  </si>
  <si>
    <t>466,22 in jan 2011 ontvangen.</t>
  </si>
  <si>
    <t>ass 115</t>
  </si>
  <si>
    <t>Wit de</t>
  </si>
  <si>
    <t>ass 117</t>
  </si>
  <si>
    <t>Kruiderink, R</t>
  </si>
  <si>
    <t>ass 119</t>
  </si>
  <si>
    <t>Molegraaf</t>
  </si>
  <si>
    <t>hp 1</t>
  </si>
  <si>
    <t>Jonkergouw en Bakker</t>
  </si>
  <si>
    <t>Kruijff Achterhuis</t>
  </si>
  <si>
    <t>hp 3</t>
  </si>
  <si>
    <t>Zwietering / Pol</t>
  </si>
  <si>
    <t>van Es</t>
  </si>
  <si>
    <t>hp 4</t>
  </si>
  <si>
    <t>Schep en Engel</t>
  </si>
  <si>
    <t>hp 5</t>
  </si>
  <si>
    <t>Sittig</t>
  </si>
  <si>
    <t>hp 6</t>
  </si>
  <si>
    <t>Reichwein M + C</t>
  </si>
  <si>
    <t>hp 7</t>
  </si>
  <si>
    <t>Weiss</t>
  </si>
  <si>
    <t>hp 8</t>
  </si>
  <si>
    <t>Oenen</t>
  </si>
  <si>
    <t>hp 9</t>
  </si>
  <si>
    <t>Mom</t>
  </si>
  <si>
    <t>hp 10</t>
  </si>
  <si>
    <t>Malipaard/de Vries</t>
  </si>
  <si>
    <t>hp 11</t>
  </si>
  <si>
    <t>Konijn, Annegeer</t>
  </si>
  <si>
    <t>hp 12</t>
  </si>
  <si>
    <t>J. v/der linden</t>
  </si>
  <si>
    <t>hp 13/15</t>
  </si>
  <si>
    <t>Frankhuizen / Konijn</t>
  </si>
  <si>
    <t>mvbs 2</t>
  </si>
  <si>
    <t>Dijkema</t>
  </si>
  <si>
    <t>mvbs 4</t>
  </si>
  <si>
    <t>Schep / Engel</t>
  </si>
  <si>
    <t>Jonkergouw / Bakker</t>
  </si>
  <si>
    <t>mvbs 6</t>
  </si>
  <si>
    <t>Schep en Schermer</t>
  </si>
  <si>
    <t>mvbs 8</t>
  </si>
  <si>
    <t>Linssen en Duvekot</t>
  </si>
  <si>
    <t>mvbs 10</t>
  </si>
  <si>
    <t>Duinker</t>
  </si>
  <si>
    <t>mvbs 12</t>
  </si>
  <si>
    <t>Keteleer</t>
  </si>
  <si>
    <t>mvbs 14</t>
  </si>
  <si>
    <t>Klimke / Verheijden</t>
  </si>
  <si>
    <t>mvbs 16</t>
  </si>
  <si>
    <t>Zielinsky Franken</t>
  </si>
  <si>
    <t>Boogaard</t>
  </si>
  <si>
    <t>mvbs 18</t>
  </si>
  <si>
    <t>E. v/der Linden</t>
  </si>
  <si>
    <t>mvbs 20</t>
  </si>
  <si>
    <t>Reichwein Gusta</t>
  </si>
  <si>
    <t>mvbs 22</t>
  </si>
  <si>
    <t>Spitsbergen</t>
  </si>
  <si>
    <t>TOTAAL ex SCGA</t>
  </si>
  <si>
    <t>Ass 101</t>
  </si>
  <si>
    <t>SCGA</t>
  </si>
  <si>
    <t xml:space="preserve">Let op: alleen reguliere betalingen ivm VVE. Geen bonnetjes e.d. </t>
  </si>
  <si>
    <t>KW 1</t>
  </si>
  <si>
    <t>KW 2</t>
  </si>
  <si>
    <t>KW 3</t>
  </si>
  <si>
    <t>KW 4</t>
  </si>
  <si>
    <t>VVE 
bijdragen 
SOLL</t>
  </si>
  <si>
    <t>Rente +
Afloss.
SOLL</t>
  </si>
  <si>
    <t>Teveel ontv. Van VVE:</t>
  </si>
  <si>
    <t>Schep / Schermer</t>
  </si>
  <si>
    <r>
      <t xml:space="preserve">Let op: alleen reguliere betalingen ivm lening VVE die </t>
    </r>
    <r>
      <rPr>
        <b/>
        <sz val="10"/>
        <rFont val="Arial"/>
        <family val="2"/>
      </rPr>
      <t>verrekend</t>
    </r>
    <r>
      <rPr>
        <sz val="10"/>
        <rFont val="Arial"/>
        <family val="2"/>
      </rPr>
      <t xml:space="preserve"> worden met VVE bijdragen. Geen bonnetjes e.d. </t>
    </r>
  </si>
  <si>
    <t>-10 betekent: VVE betaalt 10 aan Y.</t>
  </si>
  <si>
    <t>hp1</t>
  </si>
  <si>
    <t>Bakker / Jonkergouw</t>
  </si>
  <si>
    <t>nvt</t>
  </si>
  <si>
    <t>ass117</t>
  </si>
  <si>
    <t>Kruiderink</t>
  </si>
  <si>
    <t>mvb8</t>
  </si>
  <si>
    <t>Duvekort / Linssen</t>
  </si>
  <si>
    <t>mvb4</t>
  </si>
  <si>
    <t>engel</t>
  </si>
  <si>
    <t>mvb14</t>
  </si>
  <si>
    <t>Verheijden</t>
  </si>
  <si>
    <t>ass103</t>
  </si>
  <si>
    <t>Van Eck</t>
  </si>
  <si>
    <t>hp10</t>
  </si>
  <si>
    <t>De Vries / Malipaard</t>
  </si>
  <si>
    <t>TOTAAL</t>
  </si>
  <si>
    <t>Is rente die betaald moest worden over aug – dec 2009, is betaald in jan 2010.</t>
  </si>
  <si>
    <t xml:space="preserve">Let op: alleen reguliere betalingen ivm rente en aflossing vd lening VVE. Geen bonnetjes e.d. </t>
  </si>
  <si>
    <t>In 2010 ontvangen voor 2011:</t>
  </si>
  <si>
    <t>Datum</t>
  </si>
  <si>
    <t xml:space="preserve">De Vries en Malipaard </t>
  </si>
  <si>
    <t>Servicekosten</t>
  </si>
  <si>
    <t>In 2010 betaald over 2009:</t>
  </si>
  <si>
    <t>Rente lening sept – dec 2009</t>
  </si>
  <si>
    <t>In 2010 betaald over 2011:</t>
  </si>
  <si>
    <t>De Goudse Verzekeringen</t>
  </si>
  <si>
    <t>Verzekeringen 2011</t>
  </si>
  <si>
    <t>Centraal beheer</t>
  </si>
  <si>
    <t>In 2011 ontvangen over 2010</t>
  </si>
  <si>
    <t>Tineke de Rijk</t>
  </si>
  <si>
    <t>Reeds opgenomen in sheet Ontvangen van Leden.</t>
  </si>
  <si>
    <t>In 2011 te ontvangen over 2010</t>
  </si>
  <si>
    <t>Annegeer Konijn.</t>
  </si>
  <si>
    <t>maart 2011</t>
  </si>
  <si>
    <t>Zielinsky</t>
  </si>
  <si>
    <t>Feb 2010 vergeten</t>
  </si>
  <si>
    <t xml:space="preserve">Ruitschade Schep Engel </t>
  </si>
  <si>
    <t>Ruitschade 3 mei 2010 uitgekeerd a SchepEngel, nog niet ontv van verzekering.</t>
  </si>
  <si>
    <t>Taxatie Achterhuis</t>
  </si>
  <si>
    <t>Taxatie vd Boogaard</t>
  </si>
  <si>
    <t xml:space="preserve">SCGA bijdrage </t>
  </si>
  <si>
    <t>In 2011 te betalen over 2010</t>
  </si>
  <si>
    <t>Teveel betaald door Spitsbergen</t>
  </si>
  <si>
    <t>Teveel betaald door vd Boogaard</t>
  </si>
  <si>
    <t xml:space="preserve">Totaal </t>
  </si>
  <si>
    <t>In 2010 ontvangen over 2009</t>
  </si>
  <si>
    <t>Rente inkomsten Deposito reknr. 81.92.55.416</t>
  </si>
  <si>
    <t>Saldo stand ultimo</t>
  </si>
  <si>
    <t>Omschrijving</t>
  </si>
  <si>
    <t>Saldi:</t>
  </si>
  <si>
    <t>Begin</t>
  </si>
  <si>
    <t>Eind</t>
  </si>
  <si>
    <t>Verschil</t>
  </si>
  <si>
    <t>AAB Deposito</t>
  </si>
  <si>
    <t>AAB RC</t>
  </si>
  <si>
    <t xml:space="preserve">ING </t>
  </si>
  <si>
    <r>
      <t xml:space="preserve">Entree geld vereniging </t>
    </r>
    <r>
      <rPr>
        <sz val="10"/>
        <rFont val="Arial"/>
        <family val="2"/>
      </rPr>
      <t>1000 gulden = 452.50 euro</t>
    </r>
  </si>
  <si>
    <t>HJ van Es en Marisha: Excasso op 1 maart</t>
  </si>
  <si>
    <t>Geen Afschrift</t>
  </si>
  <si>
    <t>Check Online</t>
  </si>
  <si>
    <t>Jan Wim en Audrey Zielinsky: Excasso december</t>
  </si>
  <si>
    <t>1 sept</t>
  </si>
  <si>
    <t>AnneMieke en Wouter Achterhuis: Incasso september</t>
  </si>
  <si>
    <t>Piet vd Boogaard Incasso december</t>
  </si>
  <si>
    <t>NAAR AAB</t>
  </si>
  <si>
    <t>Verrekening verzekering:</t>
  </si>
  <si>
    <t>Schep Engel: 3 mei: 399,99. Nog niets gezien van De Heer.</t>
  </si>
  <si>
    <t>Rek Courant 84.48.49.057</t>
  </si>
  <si>
    <t xml:space="preserve">Rente  </t>
  </si>
  <si>
    <t>Kosten</t>
  </si>
  <si>
    <t>Lening aan de VVE</t>
  </si>
  <si>
    <t>Adres</t>
  </si>
  <si>
    <t>Aflossing</t>
  </si>
  <si>
    <t>Toegezegd bedrag</t>
  </si>
  <si>
    <t>HP1</t>
  </si>
  <si>
    <t>Bakker/Jonkergouw</t>
  </si>
  <si>
    <t>3 mnd achteraf</t>
  </si>
  <si>
    <t>ASS117</t>
  </si>
  <si>
    <t>Kruiderink R.</t>
  </si>
  <si>
    <t>HP7</t>
  </si>
  <si>
    <t>Weiss Gerard</t>
  </si>
  <si>
    <t>verrekening met servicekosten + overzicht</t>
  </si>
  <si>
    <t>MVB8</t>
  </si>
  <si>
    <t>Duvekot/Linssen</t>
  </si>
  <si>
    <t>MVB10</t>
  </si>
  <si>
    <t>MVB6</t>
  </si>
  <si>
    <t>Schep/Schermer</t>
  </si>
  <si>
    <t>MVB4</t>
  </si>
  <si>
    <t>Engel</t>
  </si>
  <si>
    <t>MVB14</t>
  </si>
  <si>
    <t>ASS103</t>
  </si>
  <si>
    <t>Eck Ad en Anoek</t>
  </si>
  <si>
    <t>ASS115</t>
  </si>
  <si>
    <t>Wit Marijke de</t>
  </si>
  <si>
    <t>HP10</t>
  </si>
  <si>
    <t>Vries hans en Emmy</t>
  </si>
  <si>
    <t>ASS105</t>
  </si>
  <si>
    <t>Veldhuizen/v. Ingen</t>
  </si>
  <si>
    <t>ASS109</t>
  </si>
  <si>
    <t>Broekhuizen P&amp;P</t>
  </si>
  <si>
    <t>Zie andere sheets.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</si>
</sst>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0"/>
    <numFmt numFmtId="166" formatCode="_-[$€-2]\ * #,##0.00_-;_-[$€-2]\ * #,##0.00\-;_-[$€-2]\ * \-??_-;_-@_-"/>
    <numFmt numFmtId="167" formatCode="&quot;fl &quot;#,##0_-"/>
    <numFmt numFmtId="168" formatCode="DD/MM/YYYY"/>
    <numFmt numFmtId="169" formatCode="_-* #,##0.00_-;_-* #,##0.00\-;_-* \-??_-;_-@_-"/>
    <numFmt numFmtId="170" formatCode="0.00"/>
    <numFmt numFmtId="171" formatCode="&quot;fl &quot;#,##0.00_-;[RED]&quot;fl &quot;#,##0.00\-"/>
    <numFmt numFmtId="172" formatCode="#,##0.00_ ;\-#,##0.00\ "/>
    <numFmt numFmtId="173" formatCode="DD/MM/YY;@"/>
    <numFmt numFmtId="174" formatCode="D/M;@"/>
    <numFmt numFmtId="175" formatCode="_-&quot;fl &quot;* #,##0.00_-;_-&quot;fl &quot;* #,##0.00\-;_-&quot;fl &quot;* \-??_-;_-@_-"/>
    <numFmt numFmtId="176" formatCode="#,##0.00"/>
    <numFmt numFmtId="177" formatCode="D/MM/YY;@"/>
    <numFmt numFmtId="178" formatCode="MM/YY"/>
    <numFmt numFmtId="179" formatCode="#,##0"/>
    <numFmt numFmtId="180" formatCode="D/MMM/YY;@"/>
    <numFmt numFmtId="181" formatCode="0%"/>
    <numFmt numFmtId="182" formatCode="DD/MM/YY"/>
    <numFmt numFmtId="183" formatCode="DD/MMM"/>
    <numFmt numFmtId="184" formatCode="[$€-413]\ #,##0.00;[RED][$€-413]\ #,##0.00\-"/>
    <numFmt numFmtId="185" formatCode="#,##0.00\ [$€-1]_-"/>
  </numFmts>
  <fonts count="1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6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7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9" fillId="0" borderId="0" xfId="0" applyFont="1" applyAlignment="1">
      <alignment/>
    </xf>
    <xf numFmtId="168" fontId="9" fillId="0" borderId="0" xfId="0" applyNumberFormat="1" applyFont="1" applyAlignment="1">
      <alignment horizontal="right"/>
    </xf>
    <xf numFmtId="164" fontId="9" fillId="0" borderId="0" xfId="0" applyFont="1" applyAlignment="1">
      <alignment horizontal="center"/>
    </xf>
    <xf numFmtId="164" fontId="9" fillId="0" borderId="0" xfId="0" applyFont="1" applyFill="1" applyAlignment="1">
      <alignment/>
    </xf>
    <xf numFmtId="169" fontId="5" fillId="0" borderId="0" xfId="15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71" fontId="1" fillId="0" borderId="0" xfId="0" applyNumberFormat="1" applyFont="1" applyFill="1" applyAlignment="1">
      <alignment/>
    </xf>
    <xf numFmtId="164" fontId="6" fillId="0" borderId="0" xfId="0" applyFont="1" applyAlignment="1">
      <alignment/>
    </xf>
    <xf numFmtId="172" fontId="5" fillId="0" borderId="0" xfId="0" applyNumberFormat="1" applyFont="1" applyAlignment="1">
      <alignment/>
    </xf>
    <xf numFmtId="170" fontId="0" fillId="0" borderId="0" xfId="15" applyNumberFormat="1" applyFill="1" applyBorder="1" applyAlignment="1" applyProtection="1">
      <alignment/>
      <protection/>
    </xf>
    <xf numFmtId="169" fontId="6" fillId="0" borderId="0" xfId="15" applyNumberFormat="1" applyFont="1" applyFill="1" applyBorder="1" applyAlignment="1" applyProtection="1">
      <alignment/>
      <protection/>
    </xf>
    <xf numFmtId="170" fontId="3" fillId="0" borderId="0" xfId="15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73" fontId="9" fillId="0" borderId="0" xfId="0" applyNumberFormat="1" applyFont="1" applyAlignment="1">
      <alignment/>
    </xf>
    <xf numFmtId="169" fontId="1" fillId="0" borderId="0" xfId="15" applyFont="1" applyFill="1" applyBorder="1" applyAlignment="1" applyProtection="1">
      <alignment/>
      <protection/>
    </xf>
    <xf numFmtId="169" fontId="5" fillId="0" borderId="0" xfId="15" applyFont="1" applyFill="1" applyBorder="1" applyAlignment="1" applyProtection="1">
      <alignment/>
      <protection/>
    </xf>
    <xf numFmtId="170" fontId="5" fillId="0" borderId="0" xfId="0" applyNumberFormat="1" applyFont="1" applyAlignment="1">
      <alignment/>
    </xf>
    <xf numFmtId="164" fontId="5" fillId="0" borderId="0" xfId="0" applyFont="1" applyFill="1" applyAlignment="1">
      <alignment/>
    </xf>
    <xf numFmtId="170" fontId="5" fillId="0" borderId="0" xfId="0" applyNumberFormat="1" applyFont="1" applyFill="1" applyAlignment="1">
      <alignment/>
    </xf>
    <xf numFmtId="169" fontId="6" fillId="0" borderId="0" xfId="15" applyFont="1" applyFill="1" applyBorder="1" applyAlignment="1" applyProtection="1">
      <alignment/>
      <protection/>
    </xf>
    <xf numFmtId="170" fontId="6" fillId="0" borderId="0" xfId="15" applyNumberFormat="1" applyFont="1" applyFill="1" applyBorder="1" applyAlignment="1" applyProtection="1">
      <alignment/>
      <protection/>
    </xf>
    <xf numFmtId="169" fontId="9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169" fontId="6" fillId="3" borderId="0" xfId="0" applyNumberFormat="1" applyFont="1" applyFill="1" applyAlignment="1">
      <alignment/>
    </xf>
    <xf numFmtId="170" fontId="6" fillId="3" borderId="0" xfId="0" applyNumberFormat="1" applyFont="1" applyFill="1" applyAlignment="1">
      <alignment/>
    </xf>
    <xf numFmtId="164" fontId="9" fillId="3" borderId="0" xfId="0" applyFont="1" applyFill="1" applyAlignment="1">
      <alignment/>
    </xf>
    <xf numFmtId="170" fontId="6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74" fontId="5" fillId="0" borderId="0" xfId="0" applyNumberFormat="1" applyFont="1" applyAlignment="1">
      <alignment/>
    </xf>
    <xf numFmtId="170" fontId="5" fillId="0" borderId="0" xfId="17" applyNumberFormat="1" applyFont="1" applyFill="1" applyBorder="1" applyAlignment="1" applyProtection="1">
      <alignment/>
      <protection/>
    </xf>
    <xf numFmtId="164" fontId="5" fillId="0" borderId="0" xfId="0" applyFont="1" applyAlignment="1">
      <alignment horizontal="right"/>
    </xf>
    <xf numFmtId="174" fontId="6" fillId="0" borderId="0" xfId="0" applyNumberFormat="1" applyFont="1" applyAlignment="1">
      <alignment/>
    </xf>
    <xf numFmtId="165" fontId="6" fillId="0" borderId="0" xfId="17" applyNumberFormat="1" applyFont="1" applyFill="1" applyBorder="1" applyAlignment="1" applyProtection="1">
      <alignment/>
      <protection/>
    </xf>
    <xf numFmtId="170" fontId="2" fillId="3" borderId="1" xfId="17" applyNumberFormat="1" applyFont="1" applyFill="1" applyBorder="1" applyAlignment="1" applyProtection="1">
      <alignment/>
      <protection/>
    </xf>
    <xf numFmtId="175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70" fontId="6" fillId="0" borderId="0" xfId="17" applyNumberFormat="1" applyFont="1" applyFill="1" applyBorder="1" applyAlignment="1" applyProtection="1">
      <alignment horizontal="left"/>
      <protection/>
    </xf>
    <xf numFmtId="164" fontId="6" fillId="0" borderId="0" xfId="0" applyFont="1" applyAlignment="1">
      <alignment horizontal="right"/>
    </xf>
    <xf numFmtId="174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70" fontId="5" fillId="0" borderId="1" xfId="17" applyNumberFormat="1" applyFont="1" applyFill="1" applyBorder="1" applyAlignment="1" applyProtection="1">
      <alignment/>
      <protection/>
    </xf>
    <xf numFmtId="164" fontId="5" fillId="0" borderId="1" xfId="0" applyFont="1" applyFill="1" applyBorder="1" applyAlignment="1">
      <alignment horizontal="right"/>
    </xf>
    <xf numFmtId="164" fontId="5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Fill="1" applyBorder="1" applyAlignment="1">
      <alignment/>
    </xf>
    <xf numFmtId="170" fontId="5" fillId="0" borderId="6" xfId="17" applyNumberFormat="1" applyFont="1" applyFill="1" applyBorder="1" applyAlignment="1" applyProtection="1">
      <alignment/>
      <protection/>
    </xf>
    <xf numFmtId="164" fontId="5" fillId="0" borderId="7" xfId="0" applyFont="1" applyFill="1" applyBorder="1" applyAlignment="1">
      <alignment/>
    </xf>
    <xf numFmtId="164" fontId="5" fillId="0" borderId="8" xfId="0" applyFont="1" applyBorder="1" applyAlignment="1">
      <alignment/>
    </xf>
    <xf numFmtId="170" fontId="5" fillId="0" borderId="3" xfId="17" applyNumberFormat="1" applyFont="1" applyFill="1" applyBorder="1" applyAlignment="1" applyProtection="1">
      <alignment/>
      <protection/>
    </xf>
    <xf numFmtId="164" fontId="5" fillId="0" borderId="9" xfId="0" applyFont="1" applyFill="1" applyBorder="1" applyAlignment="1">
      <alignment/>
    </xf>
    <xf numFmtId="174" fontId="5" fillId="0" borderId="8" xfId="0" applyNumberFormat="1" applyFont="1" applyFill="1" applyBorder="1" applyAlignment="1">
      <alignment/>
    </xf>
    <xf numFmtId="164" fontId="5" fillId="0" borderId="9" xfId="0" applyFont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76" fontId="6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164" fontId="5" fillId="0" borderId="11" xfId="0" applyFont="1" applyFill="1" applyBorder="1" applyAlignment="1">
      <alignment/>
    </xf>
    <xf numFmtId="170" fontId="5" fillId="0" borderId="12" xfId="17" applyNumberFormat="1" applyFont="1" applyFill="1" applyBorder="1" applyAlignment="1" applyProtection="1">
      <alignment/>
      <protection/>
    </xf>
    <xf numFmtId="164" fontId="5" fillId="0" borderId="13" xfId="0" applyFont="1" applyBorder="1" applyAlignment="1">
      <alignment/>
    </xf>
    <xf numFmtId="170" fontId="5" fillId="3" borderId="14" xfId="0" applyNumberFormat="1" applyFont="1" applyFill="1" applyBorder="1" applyAlignment="1">
      <alignment/>
    </xf>
    <xf numFmtId="170" fontId="5" fillId="0" borderId="2" xfId="0" applyNumberFormat="1" applyFont="1" applyBorder="1" applyAlignment="1">
      <alignment/>
    </xf>
    <xf numFmtId="164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5" fontId="5" fillId="4" borderId="15" xfId="0" applyNumberFormat="1" applyFont="1" applyFill="1" applyBorder="1" applyAlignment="1">
      <alignment/>
    </xf>
    <xf numFmtId="176" fontId="6" fillId="4" borderId="1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8" fontId="5" fillId="0" borderId="0" xfId="0" applyNumberFormat="1" applyFont="1" applyAlignment="1">
      <alignment horizontal="left"/>
    </xf>
    <xf numFmtId="164" fontId="5" fillId="4" borderId="15" xfId="0" applyFont="1" applyFill="1" applyBorder="1" applyAlignment="1">
      <alignment/>
    </xf>
    <xf numFmtId="175" fontId="5" fillId="4" borderId="0" xfId="0" applyNumberFormat="1" applyFont="1" applyFill="1" applyBorder="1" applyAlignment="1">
      <alignment/>
    </xf>
    <xf numFmtId="176" fontId="6" fillId="4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76" fontId="6" fillId="0" borderId="0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75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176" fontId="5" fillId="4" borderId="15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64" fontId="5" fillId="0" borderId="15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164" fontId="0" fillId="0" borderId="16" xfId="0" applyBorder="1" applyAlignment="1">
      <alignment/>
    </xf>
    <xf numFmtId="174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5" fontId="2" fillId="5" borderId="0" xfId="0" applyNumberFormat="1" applyFont="1" applyFill="1" applyAlignment="1">
      <alignment/>
    </xf>
    <xf numFmtId="164" fontId="0" fillId="5" borderId="0" xfId="0" applyFill="1" applyAlignment="1">
      <alignment/>
    </xf>
    <xf numFmtId="180" fontId="1" fillId="5" borderId="0" xfId="0" applyNumberFormat="1" applyFont="1" applyFill="1" applyAlignment="1">
      <alignment/>
    </xf>
    <xf numFmtId="164" fontId="1" fillId="5" borderId="0" xfId="0" applyFont="1" applyFill="1" applyAlignment="1">
      <alignment/>
    </xf>
    <xf numFmtId="165" fontId="0" fillId="5" borderId="0" xfId="0" applyNumberFormat="1" applyFill="1" applyAlignment="1">
      <alignment/>
    </xf>
    <xf numFmtId="180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5" borderId="0" xfId="0" applyNumberFormat="1" applyFont="1" applyFill="1" applyAlignment="1">
      <alignment wrapText="1"/>
    </xf>
    <xf numFmtId="180" fontId="4" fillId="0" borderId="0" xfId="0" applyNumberFormat="1" applyFont="1" applyAlignment="1">
      <alignment/>
    </xf>
    <xf numFmtId="181" fontId="4" fillId="0" borderId="0" xfId="0" applyNumberFormat="1" applyFont="1" applyFill="1" applyAlignment="1">
      <alignment/>
    </xf>
    <xf numFmtId="165" fontId="1" fillId="5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left"/>
    </xf>
    <xf numFmtId="170" fontId="4" fillId="3" borderId="0" xfId="0" applyNumberFormat="1" applyFont="1" applyFill="1" applyAlignment="1">
      <alignment horizontal="center"/>
    </xf>
    <xf numFmtId="164" fontId="0" fillId="6" borderId="0" xfId="0" applyFont="1" applyFill="1" applyAlignment="1">
      <alignment/>
    </xf>
    <xf numFmtId="180" fontId="1" fillId="0" borderId="17" xfId="0" applyNumberFormat="1" applyFont="1" applyBorder="1" applyAlignment="1">
      <alignment/>
    </xf>
    <xf numFmtId="166" fontId="4" fillId="3" borderId="18" xfId="0" applyNumberFormat="1" applyFont="1" applyFill="1" applyBorder="1" applyAlignment="1">
      <alignment/>
    </xf>
    <xf numFmtId="180" fontId="1" fillId="0" borderId="19" xfId="0" applyNumberFormat="1" applyFont="1" applyBorder="1" applyAlignment="1">
      <alignment/>
    </xf>
    <xf numFmtId="166" fontId="4" fillId="3" borderId="20" xfId="0" applyNumberFormat="1" applyFont="1" applyFill="1" applyBorder="1" applyAlignment="1">
      <alignment/>
    </xf>
    <xf numFmtId="166" fontId="4" fillId="0" borderId="2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70" fontId="0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 wrapText="1"/>
    </xf>
    <xf numFmtId="170" fontId="0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1" fillId="0" borderId="16" xfId="0" applyFont="1" applyFill="1" applyBorder="1" applyAlignment="1">
      <alignment/>
    </xf>
    <xf numFmtId="164" fontId="10" fillId="0" borderId="16" xfId="0" applyFont="1" applyFill="1" applyBorder="1" applyAlignment="1">
      <alignment/>
    </xf>
    <xf numFmtId="170" fontId="0" fillId="0" borderId="16" xfId="0" applyNumberFormat="1" applyBorder="1" applyAlignment="1">
      <alignment/>
    </xf>
    <xf numFmtId="170" fontId="3" fillId="0" borderId="16" xfId="0" applyNumberFormat="1" applyFont="1" applyBorder="1" applyAlignment="1">
      <alignment/>
    </xf>
    <xf numFmtId="164" fontId="11" fillId="0" borderId="16" xfId="0" applyFont="1" applyFill="1" applyBorder="1" applyAlignment="1">
      <alignment/>
    </xf>
    <xf numFmtId="164" fontId="12" fillId="0" borderId="16" xfId="0" applyFont="1" applyFill="1" applyBorder="1" applyAlignment="1">
      <alignment/>
    </xf>
    <xf numFmtId="170" fontId="13" fillId="0" borderId="16" xfId="0" applyNumberFormat="1" applyFont="1" applyBorder="1" applyAlignment="1">
      <alignment/>
    </xf>
    <xf numFmtId="170" fontId="14" fillId="0" borderId="16" xfId="0" applyNumberFormat="1" applyFont="1" applyBorder="1" applyAlignment="1">
      <alignment/>
    </xf>
    <xf numFmtId="164" fontId="13" fillId="0" borderId="16" xfId="0" applyFont="1" applyBorder="1" applyAlignment="1">
      <alignment/>
    </xf>
    <xf numFmtId="164" fontId="13" fillId="0" borderId="0" xfId="0" applyFont="1" applyAlignment="1">
      <alignment/>
    </xf>
    <xf numFmtId="164" fontId="1" fillId="7" borderId="16" xfId="0" applyFont="1" applyFill="1" applyBorder="1" applyAlignment="1">
      <alignment/>
    </xf>
    <xf numFmtId="164" fontId="10" fillId="7" borderId="16" xfId="0" applyFont="1" applyFill="1" applyBorder="1" applyAlignment="1">
      <alignment/>
    </xf>
    <xf numFmtId="170" fontId="0" fillId="7" borderId="16" xfId="0" applyNumberFormat="1" applyFill="1" applyBorder="1" applyAlignment="1">
      <alignment/>
    </xf>
    <xf numFmtId="170" fontId="3" fillId="7" borderId="16" xfId="0" applyNumberFormat="1" applyFont="1" applyFill="1" applyBorder="1" applyAlignment="1">
      <alignment/>
    </xf>
    <xf numFmtId="164" fontId="0" fillId="7" borderId="16" xfId="0" applyFill="1" applyBorder="1" applyAlignment="1">
      <alignment/>
    </xf>
    <xf numFmtId="164" fontId="0" fillId="7" borderId="0" xfId="0" applyFill="1" applyAlignment="1">
      <alignment/>
    </xf>
    <xf numFmtId="170" fontId="0" fillId="7" borderId="0" xfId="0" applyNumberFormat="1" applyFill="1" applyAlignment="1">
      <alignment/>
    </xf>
    <xf numFmtId="170" fontId="0" fillId="0" borderId="16" xfId="0" applyNumberFormat="1" applyFill="1" applyBorder="1" applyAlignment="1">
      <alignment/>
    </xf>
    <xf numFmtId="164" fontId="0" fillId="0" borderId="16" xfId="0" applyFill="1" applyBorder="1" applyAlignment="1">
      <alignment/>
    </xf>
    <xf numFmtId="164" fontId="4" fillId="3" borderId="16" xfId="0" applyFont="1" applyFill="1" applyBorder="1" applyAlignment="1">
      <alignment/>
    </xf>
    <xf numFmtId="170" fontId="3" fillId="3" borderId="16" xfId="0" applyNumberFormat="1" applyFont="1" applyFill="1" applyBorder="1" applyAlignment="1">
      <alignment/>
    </xf>
    <xf numFmtId="164" fontId="3" fillId="3" borderId="16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3" fillId="3" borderId="0" xfId="0" applyFont="1" applyFill="1" applyAlignment="1">
      <alignment/>
    </xf>
    <xf numFmtId="164" fontId="4" fillId="0" borderId="16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64" fontId="3" fillId="0" borderId="16" xfId="0" applyFont="1" applyFill="1" applyBorder="1" applyAlignment="1">
      <alignment/>
    </xf>
    <xf numFmtId="170" fontId="0" fillId="3" borderId="0" xfId="0" applyNumberFormat="1" applyFont="1" applyFill="1" applyAlignment="1">
      <alignment/>
    </xf>
    <xf numFmtId="170" fontId="0" fillId="3" borderId="0" xfId="0" applyNumberFormat="1" applyFill="1" applyAlignment="1">
      <alignment/>
    </xf>
    <xf numFmtId="170" fontId="3" fillId="3" borderId="0" xfId="0" applyNumberFormat="1" applyFont="1" applyFill="1" applyAlignment="1">
      <alignment/>
    </xf>
    <xf numFmtId="164" fontId="0" fillId="3" borderId="0" xfId="0" applyFill="1" applyAlignment="1">
      <alignment/>
    </xf>
    <xf numFmtId="164" fontId="3" fillId="0" borderId="0" xfId="0" applyFont="1" applyAlignment="1">
      <alignment horizontal="center" wrapText="1"/>
    </xf>
    <xf numFmtId="164" fontId="3" fillId="0" borderId="16" xfId="0" applyFont="1" applyBorder="1" applyAlignment="1">
      <alignment/>
    </xf>
    <xf numFmtId="164" fontId="0" fillId="3" borderId="0" xfId="0" applyFont="1" applyFill="1" applyAlignment="1">
      <alignment/>
    </xf>
    <xf numFmtId="164" fontId="0" fillId="0" borderId="16" xfId="0" applyFont="1" applyBorder="1" applyAlignment="1">
      <alignment/>
    </xf>
    <xf numFmtId="164" fontId="1" fillId="0" borderId="16" xfId="0" applyFont="1" applyBorder="1" applyAlignment="1">
      <alignment/>
    </xf>
    <xf numFmtId="164" fontId="3" fillId="0" borderId="0" xfId="0" applyFont="1" applyAlignment="1">
      <alignment wrapText="1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82" fontId="0" fillId="0" borderId="0" xfId="0" applyNumberFormat="1" applyAlignment="1">
      <alignment horizontal="center"/>
    </xf>
    <xf numFmtId="170" fontId="0" fillId="0" borderId="0" xfId="0" applyNumberFormat="1" applyBorder="1" applyAlignment="1">
      <alignment/>
    </xf>
    <xf numFmtId="182" fontId="0" fillId="0" borderId="0" xfId="0" applyNumberFormat="1" applyBorder="1" applyAlignment="1">
      <alignment horizontal="center"/>
    </xf>
    <xf numFmtId="174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82" fontId="5" fillId="0" borderId="0" xfId="17" applyNumberFormat="1" applyFont="1" applyFill="1" applyBorder="1" applyAlignment="1" applyProtection="1">
      <alignment horizontal="center"/>
      <protection/>
    </xf>
    <xf numFmtId="17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6" fillId="0" borderId="0" xfId="17" applyNumberFormat="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/>
    </xf>
    <xf numFmtId="170" fontId="3" fillId="0" borderId="0" xfId="0" applyNumberFormat="1" applyFont="1" applyBorder="1" applyAlignment="1">
      <alignment/>
    </xf>
    <xf numFmtId="164" fontId="0" fillId="0" borderId="21" xfId="0" applyBorder="1" applyAlignment="1">
      <alignment/>
    </xf>
    <xf numFmtId="183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75" fontId="0" fillId="0" borderId="0" xfId="17" applyFont="1" applyFill="1" applyBorder="1" applyAlignment="1" applyProtection="1">
      <alignment/>
      <protection/>
    </xf>
    <xf numFmtId="183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64" fontId="0" fillId="0" borderId="16" xfId="0" applyFont="1" applyBorder="1" applyAlignment="1">
      <alignment horizontal="center"/>
    </xf>
    <xf numFmtId="183" fontId="0" fillId="0" borderId="1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166" fontId="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85" fontId="0" fillId="0" borderId="0" xfId="17" applyNumberFormat="1" applyFont="1" applyFill="1" applyBorder="1" applyAlignment="1" applyProtection="1">
      <alignment/>
      <protection/>
    </xf>
    <xf numFmtId="174" fontId="0" fillId="0" borderId="0" xfId="0" applyNumberFormat="1" applyFont="1" applyAlignment="1">
      <alignment/>
    </xf>
    <xf numFmtId="183" fontId="0" fillId="0" borderId="1" xfId="0" applyNumberFormat="1" applyFont="1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182" fontId="0" fillId="0" borderId="0" xfId="17" applyNumberFormat="1" applyFont="1" applyFill="1" applyBorder="1" applyAlignment="1" applyProtection="1">
      <alignment/>
      <protection/>
    </xf>
    <xf numFmtId="184" fontId="0" fillId="3" borderId="1" xfId="0" applyNumberFormat="1" applyFill="1" applyBorder="1" applyAlignment="1">
      <alignment/>
    </xf>
    <xf numFmtId="166" fontId="4" fillId="3" borderId="0" xfId="0" applyNumberFormat="1" applyFont="1" applyFill="1" applyAlignment="1">
      <alignment/>
    </xf>
    <xf numFmtId="164" fontId="4" fillId="0" borderId="0" xfId="0" applyFont="1" applyAlignment="1">
      <alignment horizontal="right"/>
    </xf>
    <xf numFmtId="183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/>
    </xf>
    <xf numFmtId="175" fontId="3" fillId="0" borderId="0" xfId="17" applyFont="1" applyFill="1" applyBorder="1" applyAlignment="1" applyProtection="1">
      <alignment/>
      <protection/>
    </xf>
    <xf numFmtId="183" fontId="0" fillId="0" borderId="16" xfId="0" applyNumberFormat="1" applyFont="1" applyBorder="1" applyAlignment="1">
      <alignment horizontal="center"/>
    </xf>
    <xf numFmtId="184" fontId="0" fillId="0" borderId="16" xfId="0" applyNumberFormat="1" applyFont="1" applyBorder="1" applyAlignment="1">
      <alignment horizontal="center"/>
    </xf>
    <xf numFmtId="184" fontId="0" fillId="0" borderId="16" xfId="0" applyNumberFormat="1" applyFont="1" applyBorder="1" applyAlignment="1">
      <alignment/>
    </xf>
    <xf numFmtId="183" fontId="3" fillId="0" borderId="16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/>
    </xf>
    <xf numFmtId="164" fontId="2" fillId="5" borderId="0" xfId="0" applyFont="1" applyFill="1" applyAlignment="1">
      <alignment/>
    </xf>
    <xf numFmtId="164" fontId="4" fillId="5" borderId="0" xfId="0" applyFont="1" applyFill="1" applyAlignment="1">
      <alignment/>
    </xf>
    <xf numFmtId="183" fontId="1" fillId="5" borderId="0" xfId="0" applyNumberFormat="1" applyFont="1" applyFill="1" applyAlignment="1">
      <alignment/>
    </xf>
    <xf numFmtId="166" fontId="4" fillId="0" borderId="0" xfId="0" applyNumberFormat="1" applyFont="1" applyAlignment="1">
      <alignment horizontal="center" wrapText="1"/>
    </xf>
    <xf numFmtId="164" fontId="0" fillId="0" borderId="0" xfId="0" applyFont="1" applyAlignment="1">
      <alignment wrapText="1"/>
    </xf>
    <xf numFmtId="164" fontId="1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82" zoomScaleNormal="110" zoomScaleSheetLayoutView="82" workbookViewId="0" topLeftCell="A15">
      <selection activeCell="G33" sqref="G33"/>
    </sheetView>
  </sheetViews>
  <sheetFormatPr defaultColWidth="9.140625" defaultRowHeight="12.75"/>
  <cols>
    <col min="1" max="1" width="9.8515625" style="0" customWidth="1"/>
    <col min="2" max="2" width="29.8515625" style="0" customWidth="1"/>
    <col min="3" max="3" width="12.421875" style="0" customWidth="1"/>
    <col min="4" max="4" width="10.28125" style="0" customWidth="1"/>
    <col min="5" max="5" width="2.28125" style="0" customWidth="1"/>
    <col min="6" max="6" width="14.8515625" style="0" customWidth="1"/>
    <col min="7" max="7" width="12.421875" style="1" customWidth="1"/>
    <col min="8" max="8" width="11.00390625" style="2" customWidth="1"/>
    <col min="9" max="9" width="2.57421875" style="2" customWidth="1"/>
    <col min="10" max="10" width="10.57421875" style="2" customWidth="1"/>
    <col min="11" max="11" width="13.140625" style="0" customWidth="1"/>
    <col min="12" max="12" width="9.28125" style="0" customWidth="1"/>
  </cols>
  <sheetData>
    <row r="1" ht="15.75">
      <c r="A1" s="3" t="s">
        <v>0</v>
      </c>
    </row>
    <row r="2" spans="1:6" ht="15">
      <c r="A2" s="3" t="s">
        <v>1</v>
      </c>
      <c r="F2" s="3"/>
    </row>
    <row r="4" spans="1:11" ht="12.75">
      <c r="A4" s="4"/>
      <c r="C4" s="5"/>
      <c r="D4" s="5"/>
      <c r="E4" s="5"/>
      <c r="F4" s="5"/>
      <c r="G4" s="6"/>
      <c r="H4" s="7"/>
      <c r="I4" s="7"/>
      <c r="J4" s="7"/>
      <c r="K4" s="5"/>
    </row>
    <row r="5" spans="1:11" ht="15">
      <c r="A5" s="3" t="s">
        <v>2</v>
      </c>
      <c r="C5" s="8" t="s">
        <v>3</v>
      </c>
      <c r="D5" s="5"/>
      <c r="E5" s="5"/>
      <c r="F5" s="5"/>
      <c r="G5" s="6" t="s">
        <v>4</v>
      </c>
      <c r="H5" s="7"/>
      <c r="I5" s="7"/>
      <c r="J5" s="7" t="s">
        <v>5</v>
      </c>
      <c r="K5" s="5"/>
    </row>
    <row r="6" spans="1:15" s="12" customFormat="1" ht="11.25">
      <c r="A6" s="9" t="s">
        <v>6</v>
      </c>
      <c r="B6" s="9"/>
      <c r="C6" s="10">
        <v>37173</v>
      </c>
      <c r="D6" s="9"/>
      <c r="E6" s="9"/>
      <c r="F6" s="9"/>
      <c r="G6" s="11">
        <f>56298.94+2000</f>
        <v>58298.94</v>
      </c>
      <c r="H6" s="9"/>
      <c r="I6" s="9"/>
      <c r="J6" s="9" t="s">
        <v>7</v>
      </c>
      <c r="K6" s="9"/>
      <c r="L6" s="9"/>
      <c r="M6" s="9"/>
      <c r="N6" s="9"/>
      <c r="O6" s="9"/>
    </row>
    <row r="7" spans="1:15" s="12" customFormat="1" ht="11.25">
      <c r="A7" s="9"/>
      <c r="B7" s="9" t="s">
        <v>8</v>
      </c>
      <c r="C7" s="9"/>
      <c r="D7" s="10"/>
      <c r="E7" s="9"/>
      <c r="F7" s="9"/>
      <c r="G7" s="13"/>
      <c r="H7" s="10"/>
      <c r="I7" s="14"/>
      <c r="J7" s="9"/>
      <c r="K7" s="9"/>
      <c r="L7" s="9"/>
      <c r="M7" s="9"/>
      <c r="N7" s="9"/>
      <c r="O7" s="9"/>
    </row>
    <row r="8" spans="1:15" s="12" customFormat="1" ht="11.25">
      <c r="A8" s="9"/>
      <c r="B8" s="15" t="s">
        <v>9</v>
      </c>
      <c r="C8" s="9"/>
      <c r="D8" s="10"/>
      <c r="E8" s="9"/>
      <c r="F8" s="16"/>
      <c r="G8" s="13"/>
      <c r="H8" s="10"/>
      <c r="I8" s="9"/>
      <c r="J8" s="16"/>
      <c r="K8" s="9"/>
      <c r="L8" s="9"/>
      <c r="M8" s="9"/>
      <c r="N8" s="9"/>
      <c r="O8" s="9"/>
    </row>
    <row r="9" spans="1:15" s="12" customFormat="1" ht="11.25">
      <c r="A9" s="9" t="s">
        <v>10</v>
      </c>
      <c r="B9" s="9"/>
      <c r="C9" s="10">
        <v>5000</v>
      </c>
      <c r="D9" s="9"/>
      <c r="E9" s="9"/>
      <c r="F9" s="9"/>
      <c r="G9" s="17">
        <v>6568.41</v>
      </c>
      <c r="H9" s="9"/>
      <c r="I9" s="9"/>
      <c r="J9" s="9"/>
      <c r="K9" s="9"/>
      <c r="L9" s="9"/>
      <c r="M9" s="9"/>
      <c r="N9" s="9"/>
      <c r="O9" s="9"/>
    </row>
    <row r="10" spans="1:15" s="12" customFormat="1" ht="11.25">
      <c r="A10" s="9" t="s">
        <v>11</v>
      </c>
      <c r="B10" s="9"/>
      <c r="C10" s="10">
        <v>10000</v>
      </c>
      <c r="D10" s="9"/>
      <c r="E10" s="9"/>
      <c r="F10" s="9"/>
      <c r="G10" s="17">
        <v>0</v>
      </c>
      <c r="H10" s="9"/>
      <c r="I10" s="9"/>
      <c r="J10" s="9" t="s">
        <v>12</v>
      </c>
      <c r="K10" s="9"/>
      <c r="L10" s="9"/>
      <c r="M10" s="9"/>
      <c r="N10" s="9"/>
      <c r="O10" s="9"/>
    </row>
    <row r="11" spans="1:15" s="12" customFormat="1" ht="11.25">
      <c r="A11" s="9" t="s">
        <v>13</v>
      </c>
      <c r="B11" s="9"/>
      <c r="C11" s="10">
        <v>250</v>
      </c>
      <c r="D11" s="9"/>
      <c r="E11" s="9"/>
      <c r="F11" s="9"/>
      <c r="G11" s="17">
        <v>819.72</v>
      </c>
      <c r="H11" s="9"/>
      <c r="I11" s="9"/>
      <c r="J11" s="9"/>
      <c r="K11" s="9"/>
      <c r="L11" s="9"/>
      <c r="M11" s="9"/>
      <c r="N11" s="9"/>
      <c r="O11" s="9"/>
    </row>
    <row r="12" spans="1:15" s="12" customFormat="1" ht="11.25">
      <c r="A12" s="9" t="s">
        <v>14</v>
      </c>
      <c r="B12" s="9"/>
      <c r="C12" s="10">
        <v>1500</v>
      </c>
      <c r="D12" s="9"/>
      <c r="E12" s="9"/>
      <c r="F12" s="9"/>
      <c r="G12" s="17">
        <v>2427.6</v>
      </c>
      <c r="H12" s="9"/>
      <c r="I12" s="9"/>
      <c r="J12" s="9"/>
      <c r="K12" s="9"/>
      <c r="L12" s="9"/>
      <c r="M12" s="9"/>
      <c r="N12" s="9"/>
      <c r="O12" s="9"/>
    </row>
    <row r="13" spans="1:15" s="12" customFormat="1" ht="11.25">
      <c r="A13" s="9" t="s">
        <v>15</v>
      </c>
      <c r="B13" s="9"/>
      <c r="C13" s="10">
        <v>500</v>
      </c>
      <c r="D13" s="9"/>
      <c r="E13" s="9"/>
      <c r="F13" s="9"/>
      <c r="G13" s="17">
        <v>0</v>
      </c>
      <c r="H13" s="9"/>
      <c r="I13" s="9"/>
      <c r="J13" s="9"/>
      <c r="K13" s="9"/>
      <c r="L13" s="9"/>
      <c r="M13" s="9"/>
      <c r="N13" s="9"/>
      <c r="O13" s="9"/>
    </row>
    <row r="14" spans="1:15" s="12" customFormat="1" ht="11.25">
      <c r="A14" s="9" t="s">
        <v>16</v>
      </c>
      <c r="B14" s="9"/>
      <c r="C14" s="10">
        <v>3800</v>
      </c>
      <c r="D14" s="9"/>
      <c r="E14" s="9"/>
      <c r="F14" s="9"/>
      <c r="G14" s="17">
        <v>4130.87</v>
      </c>
      <c r="H14" s="9"/>
      <c r="I14" s="9"/>
      <c r="J14" s="9"/>
      <c r="K14" s="9"/>
      <c r="L14" s="9"/>
      <c r="M14" s="9"/>
      <c r="N14" s="9"/>
      <c r="O14" s="9"/>
    </row>
    <row r="15" spans="1:15" s="12" customFormat="1" ht="11.25">
      <c r="A15" s="9" t="s">
        <v>17</v>
      </c>
      <c r="B15" s="9"/>
      <c r="C15" s="10">
        <v>100</v>
      </c>
      <c r="D15" s="9"/>
      <c r="E15" s="9"/>
      <c r="F15" s="9"/>
      <c r="G15" s="17">
        <v>53.04</v>
      </c>
      <c r="H15" s="9"/>
      <c r="I15" s="9"/>
      <c r="J15" s="9"/>
      <c r="K15" s="9"/>
      <c r="L15" s="9"/>
      <c r="M15" s="9"/>
      <c r="N15" s="9"/>
      <c r="O15" s="9"/>
    </row>
    <row r="16" spans="1:15" s="12" customFormat="1" ht="11.25">
      <c r="A16" s="9" t="s">
        <v>18</v>
      </c>
      <c r="B16" s="9"/>
      <c r="C16" s="10">
        <v>4440</v>
      </c>
      <c r="D16" s="9"/>
      <c r="E16" s="9"/>
      <c r="F16" s="9"/>
      <c r="G16" s="17">
        <v>4068.55</v>
      </c>
      <c r="H16" s="9"/>
      <c r="I16" s="9"/>
      <c r="J16" s="9"/>
      <c r="K16" s="9"/>
      <c r="L16" s="9"/>
      <c r="M16" s="9"/>
      <c r="N16" s="9"/>
      <c r="O16" s="9"/>
    </row>
    <row r="17" spans="1:15" s="12" customFormat="1" ht="11.25">
      <c r="A17" s="9" t="s">
        <v>19</v>
      </c>
      <c r="B17" s="9"/>
      <c r="C17" s="10">
        <v>5980</v>
      </c>
      <c r="D17" s="9"/>
      <c r="E17" s="9"/>
      <c r="F17" s="9"/>
      <c r="G17" s="17">
        <v>6009</v>
      </c>
      <c r="H17" s="9"/>
      <c r="I17" s="9"/>
      <c r="J17" s="9"/>
      <c r="K17" s="9"/>
      <c r="L17" s="9"/>
      <c r="M17" s="9"/>
      <c r="N17" s="9"/>
      <c r="O17" s="9"/>
    </row>
    <row r="18" spans="1:15" s="12" customFormat="1" ht="11.25">
      <c r="A18" s="9" t="s">
        <v>20</v>
      </c>
      <c r="B18" s="9"/>
      <c r="C18" s="10">
        <v>750</v>
      </c>
      <c r="D18" s="9"/>
      <c r="E18" s="9"/>
      <c r="F18" s="9"/>
      <c r="G18" s="17">
        <v>499.33</v>
      </c>
      <c r="H18" s="9"/>
      <c r="I18" s="9"/>
      <c r="J18" s="9"/>
      <c r="K18" s="9"/>
      <c r="L18" s="9"/>
      <c r="M18" s="9"/>
      <c r="N18" s="9"/>
      <c r="O18" s="9"/>
    </row>
    <row r="19" spans="1:15" s="12" customFormat="1" ht="11.25">
      <c r="A19" s="9" t="s">
        <v>21</v>
      </c>
      <c r="B19" s="9"/>
      <c r="C19" s="10">
        <v>4500</v>
      </c>
      <c r="D19" s="9"/>
      <c r="E19" s="9"/>
      <c r="F19" s="9"/>
      <c r="G19" s="17">
        <v>1498.09</v>
      </c>
      <c r="H19" s="9"/>
      <c r="I19" s="9"/>
      <c r="J19" s="9"/>
      <c r="K19" s="9"/>
      <c r="L19" s="9"/>
      <c r="M19" s="9"/>
      <c r="N19" s="9"/>
      <c r="O19" s="9"/>
    </row>
    <row r="20" spans="1:15" s="12" customFormat="1" ht="11.25">
      <c r="A20" s="9" t="s">
        <v>22</v>
      </c>
      <c r="B20" s="9"/>
      <c r="C20" s="10"/>
      <c r="D20" s="9"/>
      <c r="E20" s="9"/>
      <c r="F20" s="9"/>
      <c r="G20" s="17"/>
      <c r="H20" s="9"/>
      <c r="I20" s="9"/>
      <c r="J20" s="9"/>
      <c r="K20" s="9"/>
      <c r="L20" s="9"/>
      <c r="M20" s="9"/>
      <c r="N20" s="9"/>
      <c r="O20" s="9"/>
    </row>
    <row r="21" spans="1:15" s="12" customFormat="1" ht="11.25">
      <c r="A21" s="9"/>
      <c r="B21" s="9" t="s">
        <v>8</v>
      </c>
      <c r="C21" s="10"/>
      <c r="D21" s="10"/>
      <c r="E21" s="9"/>
      <c r="F21" s="9"/>
      <c r="G21" s="13"/>
      <c r="H21" s="10"/>
      <c r="I21" s="9"/>
      <c r="J21" s="9"/>
      <c r="K21" s="9"/>
      <c r="L21" s="9"/>
      <c r="M21" s="9"/>
      <c r="N21" s="9"/>
      <c r="O21" s="9"/>
    </row>
    <row r="22" spans="1:15" s="12" customFormat="1" ht="11.25">
      <c r="A22" s="9"/>
      <c r="B22" s="9" t="s">
        <v>23</v>
      </c>
      <c r="C22" s="10"/>
      <c r="D22" s="10"/>
      <c r="E22" s="9"/>
      <c r="F22" s="9"/>
      <c r="G22" s="13"/>
      <c r="H22" s="10"/>
      <c r="I22" s="9"/>
      <c r="J22" s="9"/>
      <c r="K22" s="9"/>
      <c r="L22" s="9"/>
      <c r="M22" s="9"/>
      <c r="N22" s="9"/>
      <c r="O22" s="9"/>
    </row>
    <row r="23" spans="1:15" s="12" customFormat="1" ht="11.25">
      <c r="A23" s="9" t="s">
        <v>24</v>
      </c>
      <c r="B23" s="9"/>
      <c r="C23" s="10">
        <v>734</v>
      </c>
      <c r="D23" s="9"/>
      <c r="E23" s="9"/>
      <c r="F23" s="9"/>
      <c r="G23" s="17"/>
      <c r="H23" s="14"/>
      <c r="I23" s="9"/>
      <c r="J23" s="9" t="s">
        <v>25</v>
      </c>
      <c r="K23" s="9"/>
      <c r="L23" s="9"/>
      <c r="M23" s="9"/>
      <c r="N23" s="9"/>
      <c r="O23" s="9"/>
    </row>
    <row r="24" spans="1:15" s="12" customFormat="1" ht="11.25">
      <c r="A24" s="9"/>
      <c r="B24" s="9" t="s">
        <v>8</v>
      </c>
      <c r="C24" s="10"/>
      <c r="D24" s="10">
        <v>734</v>
      </c>
      <c r="E24" s="9"/>
      <c r="F24" s="9"/>
      <c r="G24" s="18"/>
      <c r="H24" s="10"/>
      <c r="I24" s="9"/>
      <c r="J24" s="9"/>
      <c r="K24" s="9"/>
      <c r="L24" s="9"/>
      <c r="M24" s="9"/>
      <c r="N24" s="9"/>
      <c r="O24" s="9"/>
    </row>
    <row r="25" spans="1:15" s="12" customFormat="1" ht="11.25">
      <c r="A25" s="9"/>
      <c r="B25" s="9" t="s">
        <v>26</v>
      </c>
      <c r="C25" s="10"/>
      <c r="D25" s="10"/>
      <c r="E25" s="9"/>
      <c r="F25" s="9"/>
      <c r="G25" s="18">
        <v>273.7</v>
      </c>
      <c r="H25" s="10"/>
      <c r="I25" s="9"/>
      <c r="J25" s="9"/>
      <c r="K25" s="9"/>
      <c r="L25" s="9"/>
      <c r="M25" s="9"/>
      <c r="N25" s="9"/>
      <c r="O25" s="9"/>
    </row>
    <row r="26" spans="1:15" s="12" customFormat="1" ht="11.25">
      <c r="A26" s="9" t="s">
        <v>27</v>
      </c>
      <c r="B26" s="9"/>
      <c r="C26" s="10">
        <v>700</v>
      </c>
      <c r="D26" s="9"/>
      <c r="E26" s="9"/>
      <c r="F26" s="9"/>
      <c r="G26" s="19"/>
      <c r="H26" s="14"/>
      <c r="I26" s="9"/>
      <c r="J26" s="9" t="s">
        <v>28</v>
      </c>
      <c r="K26" s="9"/>
      <c r="L26" s="9"/>
      <c r="M26" s="9"/>
      <c r="N26" s="9"/>
      <c r="O26" s="9"/>
    </row>
    <row r="27" spans="1:15" s="12" customFormat="1" ht="11.25">
      <c r="A27" s="9" t="s">
        <v>29</v>
      </c>
      <c r="B27" s="9"/>
      <c r="C27" s="10">
        <v>1200</v>
      </c>
      <c r="D27" s="9"/>
      <c r="E27" s="9"/>
      <c r="F27" s="9"/>
      <c r="G27" s="17">
        <v>1180.48</v>
      </c>
      <c r="H27" s="14"/>
      <c r="I27" s="9"/>
      <c r="J27" s="9"/>
      <c r="K27" s="9"/>
      <c r="L27" s="9"/>
      <c r="M27" s="9"/>
      <c r="N27" s="9"/>
      <c r="O27" s="9"/>
    </row>
    <row r="28" spans="1:15" s="12" customFormat="1" ht="11.25">
      <c r="A28" s="20" t="s">
        <v>30</v>
      </c>
      <c r="B28" s="9"/>
      <c r="C28" s="10">
        <v>0</v>
      </c>
      <c r="D28" s="9"/>
      <c r="E28" s="9"/>
      <c r="F28" s="9"/>
      <c r="G28" s="17">
        <v>3278.45</v>
      </c>
      <c r="H28" s="14"/>
      <c r="I28" s="9"/>
      <c r="J28" s="9"/>
      <c r="K28" s="9"/>
      <c r="L28" s="9"/>
      <c r="M28" s="9"/>
      <c r="N28" s="9"/>
      <c r="O28" s="9"/>
    </row>
    <row r="29" spans="1:15" s="12" customFormat="1" ht="11.25">
      <c r="A29" s="20" t="s">
        <v>31</v>
      </c>
      <c r="B29" s="9"/>
      <c r="C29" s="10">
        <v>2553</v>
      </c>
      <c r="D29" s="9"/>
      <c r="E29" s="9"/>
      <c r="F29" s="9"/>
      <c r="G29" s="17">
        <v>2552.57</v>
      </c>
      <c r="H29" s="14"/>
      <c r="I29" s="9"/>
      <c r="J29" s="9"/>
      <c r="K29" s="9"/>
      <c r="L29" s="9"/>
      <c r="M29" s="9"/>
      <c r="N29" s="9"/>
      <c r="O29" s="9"/>
    </row>
    <row r="30" spans="1:15" s="12" customFormat="1" ht="11.25">
      <c r="A30" s="20" t="s">
        <v>32</v>
      </c>
      <c r="B30" s="9"/>
      <c r="C30" s="10">
        <v>4083.33</v>
      </c>
      <c r="D30" s="9"/>
      <c r="E30" s="9"/>
      <c r="F30" s="9"/>
      <c r="G30" s="17">
        <v>4083.33</v>
      </c>
      <c r="H30" s="14"/>
      <c r="I30" s="9"/>
      <c r="J30" s="9"/>
      <c r="K30" s="9"/>
      <c r="L30" s="9"/>
      <c r="M30" s="9"/>
      <c r="N30" s="9"/>
      <c r="O30" s="9"/>
    </row>
    <row r="31" spans="1:15" s="12" customFormat="1" ht="11.25">
      <c r="A31" s="20" t="s">
        <v>33</v>
      </c>
      <c r="B31" s="9"/>
      <c r="C31" s="10">
        <v>40833.33</v>
      </c>
      <c r="D31" s="9"/>
      <c r="E31" s="9"/>
      <c r="F31" s="9"/>
      <c r="G31" s="17">
        <v>40833.33</v>
      </c>
      <c r="H31" s="14"/>
      <c r="I31" s="9"/>
      <c r="J31" s="9"/>
      <c r="K31" s="9"/>
      <c r="L31" s="9"/>
      <c r="M31" s="9"/>
      <c r="N31" s="9"/>
      <c r="O31" s="9"/>
    </row>
    <row r="32" spans="1:15" s="12" customFormat="1" ht="11.25">
      <c r="A32" s="21" t="s">
        <v>34</v>
      </c>
      <c r="B32" s="9"/>
      <c r="C32" s="10">
        <v>1500</v>
      </c>
      <c r="D32" s="9"/>
      <c r="E32" s="9"/>
      <c r="F32" s="9"/>
      <c r="G32" s="17">
        <v>685.47</v>
      </c>
      <c r="H32" s="9"/>
      <c r="I32" s="9"/>
      <c r="J32" s="9"/>
      <c r="K32" s="9"/>
      <c r="L32" s="9"/>
      <c r="M32" s="9"/>
      <c r="N32" s="9"/>
      <c r="O32" s="9"/>
    </row>
    <row r="33" spans="1:15" s="12" customFormat="1" ht="11.25">
      <c r="A33" s="16" t="s">
        <v>35</v>
      </c>
      <c r="B33" s="9"/>
      <c r="C33" s="22">
        <f>SUM(C6:C32)</f>
        <v>125596.66</v>
      </c>
      <c r="D33" s="9"/>
      <c r="E33" s="9"/>
      <c r="F33" s="9"/>
      <c r="G33" s="23">
        <f>SUM(G6:G32)</f>
        <v>137260.88</v>
      </c>
      <c r="H33" s="9"/>
      <c r="I33" s="9"/>
      <c r="J33" s="9"/>
      <c r="K33" s="9"/>
      <c r="L33" s="9"/>
      <c r="M33" s="9"/>
      <c r="N33" s="9"/>
      <c r="O33" s="9"/>
    </row>
    <row r="34" spans="1:15" s="12" customFormat="1" ht="11.25">
      <c r="A34" s="9"/>
      <c r="B34" s="9"/>
      <c r="C34" s="9"/>
      <c r="D34" s="9"/>
      <c r="E34" s="9"/>
      <c r="F34" s="9"/>
      <c r="G34" s="24"/>
      <c r="H34" s="9"/>
      <c r="I34" s="9"/>
      <c r="J34" s="9"/>
      <c r="K34" s="9"/>
      <c r="L34" s="9"/>
      <c r="M34" s="9"/>
      <c r="N34" s="9"/>
      <c r="O34" s="9"/>
    </row>
    <row r="35" spans="1:15" s="12" customFormat="1" ht="11.25">
      <c r="A35" s="9"/>
      <c r="B35" s="9"/>
      <c r="C35" s="9"/>
      <c r="D35" s="9"/>
      <c r="E35" s="9"/>
      <c r="F35" s="9"/>
      <c r="G35" s="25">
        <f>G33-G26-H24-H7</f>
        <v>137260.88</v>
      </c>
      <c r="H35" s="16" t="s">
        <v>36</v>
      </c>
      <c r="I35" s="9"/>
      <c r="J35" s="9"/>
      <c r="K35" s="9"/>
      <c r="L35" s="9"/>
      <c r="M35" s="9"/>
      <c r="N35" s="9"/>
      <c r="O35" s="9"/>
    </row>
    <row r="36" spans="1:15" s="12" customFormat="1" ht="11.25">
      <c r="A36" s="16" t="s">
        <v>37</v>
      </c>
      <c r="B36" s="9"/>
      <c r="C36" s="9"/>
      <c r="D36" s="21"/>
      <c r="E36" s="9"/>
      <c r="F36" s="9"/>
      <c r="G36" s="13"/>
      <c r="H36" s="16"/>
      <c r="I36" s="9"/>
      <c r="J36" s="9"/>
      <c r="K36" s="9"/>
      <c r="L36" s="9"/>
      <c r="M36" s="9"/>
      <c r="N36" s="9"/>
      <c r="O36" s="9"/>
    </row>
    <row r="37" spans="1:15" s="12" customFormat="1" ht="11.25">
      <c r="A37" s="9" t="s">
        <v>38</v>
      </c>
      <c r="B37" s="9"/>
      <c r="C37" s="10">
        <v>77984</v>
      </c>
      <c r="D37" s="9"/>
      <c r="E37" s="9"/>
      <c r="F37" s="9"/>
      <c r="G37" s="17">
        <v>78239.38</v>
      </c>
      <c r="H37" s="9"/>
      <c r="I37" s="9"/>
      <c r="J37" s="9" t="s">
        <v>39</v>
      </c>
      <c r="K37" s="9"/>
      <c r="L37" s="9"/>
      <c r="M37" s="9"/>
      <c r="N37" s="9"/>
      <c r="O37" s="9"/>
    </row>
    <row r="38" spans="1:15" s="12" customFormat="1" ht="11.25">
      <c r="A38" s="9" t="s">
        <v>40</v>
      </c>
      <c r="B38" s="9"/>
      <c r="C38" s="10">
        <v>7153</v>
      </c>
      <c r="D38" s="9"/>
      <c r="E38" s="9"/>
      <c r="F38" s="9"/>
      <c r="G38" s="17">
        <v>9955.78</v>
      </c>
      <c r="H38" s="9"/>
      <c r="I38" s="9"/>
      <c r="J38" s="9" t="s">
        <v>41</v>
      </c>
      <c r="K38" s="9"/>
      <c r="L38" s="9"/>
      <c r="M38" s="9"/>
      <c r="N38" s="9"/>
      <c r="O38" s="9"/>
    </row>
    <row r="39" spans="1:15" s="12" customFormat="1" ht="11.25">
      <c r="A39" s="9" t="s">
        <v>42</v>
      </c>
      <c r="B39" s="9"/>
      <c r="C39" s="10">
        <v>0</v>
      </c>
      <c r="D39" s="9"/>
      <c r="E39" s="9"/>
      <c r="F39" s="9"/>
      <c r="G39" s="17">
        <v>506.37</v>
      </c>
      <c r="H39" s="9"/>
      <c r="I39" s="9"/>
      <c r="J39" s="9"/>
      <c r="K39" s="9"/>
      <c r="L39" s="9"/>
      <c r="M39" s="9"/>
      <c r="N39" s="9"/>
      <c r="O39" s="9"/>
    </row>
    <row r="40" spans="1:15" s="12" customFormat="1" ht="11.25">
      <c r="A40" s="9" t="s">
        <v>43</v>
      </c>
      <c r="B40" s="9"/>
      <c r="C40" s="10">
        <v>350</v>
      </c>
      <c r="D40" s="9"/>
      <c r="E40" s="9"/>
      <c r="F40" s="9"/>
      <c r="G40" s="17">
        <v>629.12</v>
      </c>
      <c r="H40" s="9"/>
      <c r="I40" s="9"/>
      <c r="J40" s="9"/>
      <c r="K40" s="9"/>
      <c r="L40" s="9"/>
      <c r="M40" s="9"/>
      <c r="N40" s="9"/>
      <c r="O40" s="9"/>
    </row>
    <row r="41" spans="1:15" s="12" customFormat="1" ht="11.25">
      <c r="A41" s="9" t="s">
        <v>44</v>
      </c>
      <c r="B41" s="9"/>
      <c r="C41" s="10">
        <f>29296-0.34</f>
        <v>29295.66</v>
      </c>
      <c r="D41" s="9"/>
      <c r="E41" s="9"/>
      <c r="F41" s="9"/>
      <c r="G41" s="17">
        <v>37173.04</v>
      </c>
      <c r="H41" s="9"/>
      <c r="I41" s="9"/>
      <c r="J41" s="9"/>
      <c r="K41" s="9"/>
      <c r="L41" s="9"/>
      <c r="M41" s="9"/>
      <c r="N41" s="9"/>
      <c r="O41" s="9"/>
    </row>
    <row r="42" spans="1:15" s="12" customFormat="1" ht="11.25">
      <c r="A42" s="9" t="s">
        <v>45</v>
      </c>
      <c r="B42" s="9"/>
      <c r="C42" s="10">
        <v>10814</v>
      </c>
      <c r="D42" s="16"/>
      <c r="E42" s="26"/>
      <c r="F42" s="9"/>
      <c r="G42" s="17">
        <v>10757.19</v>
      </c>
      <c r="H42" s="9"/>
      <c r="I42" s="9"/>
      <c r="J42" s="9"/>
      <c r="K42" s="9"/>
      <c r="L42" s="9"/>
      <c r="M42" s="9"/>
      <c r="N42" s="9"/>
      <c r="O42" s="9"/>
    </row>
    <row r="43" spans="1:15" s="12" customFormat="1" ht="11.25">
      <c r="A43" s="9"/>
      <c r="B43" s="9"/>
      <c r="C43" s="22"/>
      <c r="D43" s="16"/>
      <c r="E43" s="26"/>
      <c r="F43" s="9"/>
      <c r="G43" s="23"/>
      <c r="H43" s="16"/>
      <c r="I43" s="26"/>
      <c r="J43" s="9"/>
      <c r="K43" s="9"/>
      <c r="L43" s="9"/>
      <c r="M43" s="9"/>
      <c r="N43" s="9"/>
      <c r="O43" s="9"/>
    </row>
    <row r="44" spans="1:15" s="12" customFormat="1" ht="11.25">
      <c r="A44" s="9"/>
      <c r="B44" s="9"/>
      <c r="C44" s="10"/>
      <c r="D44" s="9"/>
      <c r="E44" s="9"/>
      <c r="F44" s="9"/>
      <c r="G44" s="23"/>
      <c r="H44" s="16"/>
      <c r="I44" s="9"/>
      <c r="J44" s="9"/>
      <c r="K44" s="9"/>
      <c r="L44" s="9"/>
      <c r="M44" s="9"/>
      <c r="N44" s="9"/>
      <c r="O44" s="9"/>
    </row>
    <row r="45" spans="1:15" s="12" customFormat="1" ht="11.25">
      <c r="A45" s="16" t="s">
        <v>0</v>
      </c>
      <c r="B45" s="9"/>
      <c r="C45" s="22">
        <f>SUM(C37:C44)</f>
        <v>125596.66</v>
      </c>
      <c r="D45" s="9"/>
      <c r="E45" s="9"/>
      <c r="F45" s="9"/>
      <c r="G45" s="23">
        <f>SUM(G37:G44)</f>
        <v>137260.88</v>
      </c>
      <c r="H45" s="16">
        <f>G33-G45</f>
        <v>0</v>
      </c>
      <c r="I45" s="9" t="s">
        <v>46</v>
      </c>
      <c r="J45" s="9"/>
      <c r="K45" s="9"/>
      <c r="L45" s="9"/>
      <c r="M45" s="9"/>
      <c r="N45" s="9"/>
      <c r="O45" s="9"/>
    </row>
    <row r="46" spans="1:15" s="12" customFormat="1" ht="11.25">
      <c r="A46" s="9" t="s">
        <v>0</v>
      </c>
      <c r="B46" s="9"/>
      <c r="C46" s="9"/>
      <c r="D46" s="9"/>
      <c r="E46" s="9"/>
      <c r="F46" s="9"/>
      <c r="G46" s="13"/>
      <c r="H46" s="9"/>
      <c r="I46" s="9"/>
      <c r="J46" s="9"/>
      <c r="K46" s="9"/>
      <c r="L46" s="9"/>
      <c r="M46" s="9"/>
      <c r="N46" s="9"/>
      <c r="O46" s="9"/>
    </row>
    <row r="47" spans="1:6" ht="12.75">
      <c r="A47" t="s">
        <v>0</v>
      </c>
      <c r="C47" s="27"/>
      <c r="D47" s="27"/>
      <c r="E47" s="27"/>
      <c r="F47" s="27"/>
    </row>
    <row r="48" ht="12.75">
      <c r="A48" t="s">
        <v>0</v>
      </c>
    </row>
    <row r="49" ht="12.75">
      <c r="A49" t="s">
        <v>0</v>
      </c>
    </row>
    <row r="50" ht="12.75">
      <c r="A50" t="s">
        <v>0</v>
      </c>
    </row>
    <row r="51" ht="12.75">
      <c r="A51" t="s">
        <v>0</v>
      </c>
    </row>
    <row r="52" ht="12.75">
      <c r="A52" t="s">
        <v>0</v>
      </c>
    </row>
    <row r="53" ht="12.75">
      <c r="A53" t="s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82" zoomScaleNormal="110" zoomScaleSheetLayoutView="82" workbookViewId="0" topLeftCell="A3">
      <selection activeCell="C51" sqref="C51"/>
    </sheetView>
  </sheetViews>
  <sheetFormatPr defaultColWidth="9.140625" defaultRowHeight="12.75"/>
  <cols>
    <col min="1" max="1" width="26.00390625" style="0" customWidth="1"/>
    <col min="2" max="2" width="13.00390625" style="0" customWidth="1"/>
    <col min="3" max="3" width="42.421875" style="28" customWidth="1"/>
    <col min="4" max="4" width="10.00390625" style="28" customWidth="1"/>
    <col min="5" max="5" width="12.7109375" style="0" customWidth="1"/>
    <col min="6" max="6" width="40.8515625" style="0" customWidth="1"/>
    <col min="7" max="7" width="9.00390625" style="29" customWidth="1"/>
    <col min="8" max="8" width="10.28125" style="29" customWidth="1"/>
    <col min="9" max="10" width="9.00390625" style="29" customWidth="1"/>
  </cols>
  <sheetData>
    <row r="1" spans="1:10" s="30" customFormat="1" ht="15">
      <c r="A1" s="3" t="s">
        <v>47</v>
      </c>
      <c r="B1" s="3"/>
      <c r="G1" s="31"/>
      <c r="H1" s="31"/>
      <c r="I1" s="31"/>
      <c r="J1" s="31"/>
    </row>
    <row r="2" spans="1:11" ht="12.75">
      <c r="A2" s="5"/>
      <c r="B2" s="4"/>
      <c r="E2" s="4"/>
      <c r="F2" s="4"/>
      <c r="G2" s="32"/>
      <c r="H2" s="32"/>
      <c r="I2" s="32"/>
      <c r="J2" s="32"/>
      <c r="K2" s="4"/>
    </row>
    <row r="3" spans="1:11" ht="12.75">
      <c r="A3" s="28"/>
      <c r="B3" s="28"/>
      <c r="E3" s="28"/>
      <c r="F3" s="28"/>
      <c r="G3" s="33"/>
      <c r="H3" s="32"/>
      <c r="I3" s="32"/>
      <c r="J3" s="32"/>
      <c r="K3" s="4"/>
    </row>
    <row r="4" spans="1:10" s="34" customFormat="1" ht="13.5">
      <c r="A4" s="34" t="s">
        <v>48</v>
      </c>
      <c r="B4" s="35" t="s">
        <v>49</v>
      </c>
      <c r="C4" s="36" t="s">
        <v>50</v>
      </c>
      <c r="D4" s="36"/>
      <c r="E4" s="35" t="s">
        <v>51</v>
      </c>
      <c r="F4" s="36" t="s">
        <v>52</v>
      </c>
      <c r="G4" s="37"/>
      <c r="H4" s="37"/>
      <c r="I4" s="37"/>
      <c r="J4" s="37"/>
    </row>
    <row r="5" spans="1:11" ht="12.75">
      <c r="A5" s="28"/>
      <c r="B5" s="28"/>
      <c r="E5" s="28"/>
      <c r="F5" s="28"/>
      <c r="G5" s="33"/>
      <c r="H5" s="32"/>
      <c r="I5" s="32"/>
      <c r="J5" s="32"/>
      <c r="K5" s="4"/>
    </row>
    <row r="6" spans="1:11" ht="12.75">
      <c r="A6" s="20" t="s">
        <v>53</v>
      </c>
      <c r="B6" s="38">
        <v>226.44</v>
      </c>
      <c r="C6" s="20"/>
      <c r="D6" s="20"/>
      <c r="E6" s="39">
        <v>1410.83</v>
      </c>
      <c r="F6" s="20"/>
      <c r="G6" s="40"/>
      <c r="H6" s="32"/>
      <c r="I6" s="32"/>
      <c r="J6" s="32"/>
      <c r="K6" s="4"/>
    </row>
    <row r="7" spans="1:11" ht="12.75">
      <c r="A7" s="20"/>
      <c r="B7" s="38"/>
      <c r="C7" s="20"/>
      <c r="D7" s="20"/>
      <c r="E7" s="39"/>
      <c r="F7" s="20"/>
      <c r="G7" s="33"/>
      <c r="H7" s="32"/>
      <c r="I7" s="32"/>
      <c r="J7" s="32"/>
      <c r="K7" s="4"/>
    </row>
    <row r="8" spans="1:11" ht="12.75">
      <c r="A8" s="20" t="s">
        <v>54</v>
      </c>
      <c r="B8" s="38">
        <v>152.76</v>
      </c>
      <c r="C8" s="20" t="s">
        <v>55</v>
      </c>
      <c r="D8" s="20"/>
      <c r="E8" s="39">
        <v>1531.61</v>
      </c>
      <c r="F8" s="20"/>
      <c r="G8" s="33"/>
      <c r="H8" s="32"/>
      <c r="I8" s="32"/>
      <c r="J8" s="32"/>
      <c r="K8" s="4"/>
    </row>
    <row r="9" spans="1:11" ht="12.75">
      <c r="A9" s="20"/>
      <c r="B9" s="38">
        <f>31287-27000</f>
        <v>4287</v>
      </c>
      <c r="C9" s="20" t="s">
        <v>56</v>
      </c>
      <c r="D9" s="20"/>
      <c r="E9" s="39"/>
      <c r="F9" s="20"/>
      <c r="G9" s="33"/>
      <c r="H9" s="32"/>
      <c r="I9" s="32"/>
      <c r="J9" s="32"/>
      <c r="K9" s="4"/>
    </row>
    <row r="10" spans="1:11" ht="12.75">
      <c r="A10" s="20" t="s">
        <v>57</v>
      </c>
      <c r="B10" s="38">
        <v>0</v>
      </c>
      <c r="C10" s="20"/>
      <c r="D10" s="20"/>
      <c r="E10" s="39">
        <v>399.99</v>
      </c>
      <c r="F10" s="20" t="s">
        <v>58</v>
      </c>
      <c r="G10" s="33"/>
      <c r="H10" s="32"/>
      <c r="I10" s="32"/>
      <c r="J10" s="32"/>
      <c r="K10" s="4"/>
    </row>
    <row r="11" spans="1:11" ht="12.75">
      <c r="A11" s="20"/>
      <c r="B11" s="38"/>
      <c r="C11" s="20"/>
      <c r="D11" s="20"/>
      <c r="E11" s="39"/>
      <c r="F11" s="20"/>
      <c r="G11" s="33"/>
      <c r="H11" s="32"/>
      <c r="I11" s="32"/>
      <c r="J11" s="32"/>
      <c r="K11" s="4"/>
    </row>
    <row r="12" spans="1:11" ht="12.75">
      <c r="A12" s="20" t="s">
        <v>59</v>
      </c>
      <c r="B12" s="38">
        <v>351.21</v>
      </c>
      <c r="C12" s="20"/>
      <c r="D12" s="20"/>
      <c r="E12" s="39">
        <v>3915.04</v>
      </c>
      <c r="F12" s="20" t="s">
        <v>60</v>
      </c>
      <c r="G12" s="33"/>
      <c r="H12" s="32"/>
      <c r="I12" s="32"/>
      <c r="J12" s="32"/>
      <c r="K12" s="4"/>
    </row>
    <row r="13" spans="1:11" ht="12.75">
      <c r="A13" s="20"/>
      <c r="B13" s="38"/>
      <c r="C13" s="20"/>
      <c r="D13" s="20"/>
      <c r="E13" s="39"/>
      <c r="F13" s="20"/>
      <c r="G13" s="33"/>
      <c r="H13" s="32"/>
      <c r="I13" s="32"/>
      <c r="J13" s="32"/>
      <c r="K13" s="4"/>
    </row>
    <row r="14" spans="1:11" ht="12.75">
      <c r="A14" s="20" t="s">
        <v>61</v>
      </c>
      <c r="B14" s="38">
        <v>13922.73</v>
      </c>
      <c r="C14" s="20" t="s">
        <v>62</v>
      </c>
      <c r="D14" s="20"/>
      <c r="E14" s="39">
        <v>4791.36</v>
      </c>
      <c r="F14" s="20" t="s">
        <v>63</v>
      </c>
      <c r="G14" s="33"/>
      <c r="H14" s="32"/>
      <c r="I14" s="32"/>
      <c r="J14" s="32"/>
      <c r="K14" s="4"/>
    </row>
    <row r="15" spans="1:11" ht="12.75">
      <c r="A15" s="20"/>
      <c r="B15" s="38"/>
      <c r="C15" s="20"/>
      <c r="D15" s="20"/>
      <c r="E15" s="39"/>
      <c r="F15" s="20"/>
      <c r="G15" s="33"/>
      <c r="H15" s="32"/>
      <c r="I15" s="32"/>
      <c r="J15" s="32"/>
      <c r="K15" s="4"/>
    </row>
    <row r="16" spans="1:11" ht="12.75">
      <c r="A16" s="20" t="s">
        <v>64</v>
      </c>
      <c r="B16" s="38">
        <v>47858.83</v>
      </c>
      <c r="C16" s="20" t="s">
        <v>62</v>
      </c>
      <c r="D16" s="20"/>
      <c r="E16" s="39">
        <v>7000</v>
      </c>
      <c r="F16" s="20" t="s">
        <v>65</v>
      </c>
      <c r="G16" s="33"/>
      <c r="H16" s="32"/>
      <c r="I16" s="32"/>
      <c r="J16" s="32"/>
      <c r="K16" s="4"/>
    </row>
    <row r="17" spans="1:11" ht="12.75">
      <c r="A17" s="20"/>
      <c r="B17" s="38"/>
      <c r="C17" s="20"/>
      <c r="D17" s="20"/>
      <c r="E17" s="39"/>
      <c r="F17" s="20"/>
      <c r="G17" s="33"/>
      <c r="H17" s="32"/>
      <c r="I17" s="32"/>
      <c r="J17" s="32"/>
      <c r="K17" s="4"/>
    </row>
    <row r="18" spans="1:11" ht="12.75">
      <c r="A18" s="41" t="s">
        <v>66</v>
      </c>
      <c r="B18" s="42">
        <v>2377.66</v>
      </c>
      <c r="C18" s="20"/>
      <c r="D18" s="20"/>
      <c r="E18" s="39">
        <v>2884.03</v>
      </c>
      <c r="F18" s="20" t="s">
        <v>67</v>
      </c>
      <c r="G18" s="33"/>
      <c r="H18" s="32"/>
      <c r="I18" s="32"/>
      <c r="J18" s="32"/>
      <c r="K18" s="4"/>
    </row>
    <row r="19" spans="1:11" ht="12.75">
      <c r="A19" s="20"/>
      <c r="B19" s="38"/>
      <c r="C19" s="20"/>
      <c r="D19" s="20"/>
      <c r="E19" s="43"/>
      <c r="F19" s="20"/>
      <c r="G19" s="33"/>
      <c r="H19" s="32"/>
      <c r="I19" s="32"/>
      <c r="J19" s="32"/>
      <c r="K19" s="4"/>
    </row>
    <row r="20" spans="1:10" s="5" customFormat="1" ht="12.75">
      <c r="A20" s="41" t="s">
        <v>35</v>
      </c>
      <c r="B20" s="44">
        <f>SUM(B5:B18)</f>
        <v>69176.63</v>
      </c>
      <c r="C20" s="41"/>
      <c r="D20" s="41"/>
      <c r="E20" s="45">
        <f>SUM(E6:E18)</f>
        <v>21932.86</v>
      </c>
      <c r="F20" s="41"/>
      <c r="G20" s="46"/>
      <c r="H20" s="47"/>
      <c r="I20" s="47"/>
      <c r="J20" s="47"/>
    </row>
    <row r="21" spans="1:11" ht="12.75">
      <c r="A21" s="28"/>
      <c r="B21" s="28"/>
      <c r="E21" s="28"/>
      <c r="F21" s="28"/>
      <c r="G21" s="33"/>
      <c r="H21" s="48"/>
      <c r="I21" s="32"/>
      <c r="J21" s="32"/>
      <c r="K21" s="4"/>
    </row>
    <row r="22" spans="1:11" ht="12.75">
      <c r="A22" s="49"/>
      <c r="B22" s="49"/>
      <c r="C22" s="49"/>
      <c r="D22" s="49"/>
      <c r="E22" s="49"/>
      <c r="F22" s="49"/>
      <c r="G22" s="33"/>
      <c r="H22" s="48"/>
      <c r="I22" s="32"/>
      <c r="J22" s="32"/>
      <c r="K22" s="4"/>
    </row>
    <row r="23" spans="1:11" ht="12.75">
      <c r="A23" s="28"/>
      <c r="B23" s="28"/>
      <c r="E23" s="28"/>
      <c r="F23" s="28"/>
      <c r="G23" s="33" t="s">
        <v>68</v>
      </c>
      <c r="H23" s="32"/>
      <c r="I23" s="32"/>
      <c r="J23" s="32"/>
      <c r="K23" s="4"/>
    </row>
    <row r="24" spans="1:10" s="34" customFormat="1" ht="13.5">
      <c r="A24" s="34" t="s">
        <v>69</v>
      </c>
      <c r="B24" s="35" t="str">
        <f>B4</f>
        <v>31-12-2009</v>
      </c>
      <c r="E24" s="50" t="str">
        <f>E4</f>
        <v>31-12-2010</v>
      </c>
      <c r="G24" s="37"/>
      <c r="H24" s="37"/>
      <c r="I24" s="37"/>
      <c r="J24" s="37"/>
    </row>
    <row r="25" spans="1:11" ht="12.75">
      <c r="A25" s="28"/>
      <c r="B25" s="51"/>
      <c r="E25" s="51"/>
      <c r="F25" s="28"/>
      <c r="G25" s="33"/>
      <c r="H25" s="32"/>
      <c r="I25" s="32"/>
      <c r="J25" s="32"/>
      <c r="K25" s="4"/>
    </row>
    <row r="26" spans="1:11" ht="12.75">
      <c r="A26" s="20" t="s">
        <v>70</v>
      </c>
      <c r="B26" s="52">
        <v>9.91</v>
      </c>
      <c r="C26" s="20"/>
      <c r="D26" s="20"/>
      <c r="E26" s="53">
        <v>2772.8</v>
      </c>
      <c r="F26" s="20"/>
      <c r="G26" s="33"/>
      <c r="H26" s="32"/>
      <c r="I26" s="32"/>
      <c r="J26" s="32"/>
      <c r="K26" s="4"/>
    </row>
    <row r="27" spans="1:11" ht="12.75">
      <c r="A27" s="20"/>
      <c r="B27" s="52"/>
      <c r="C27" s="20"/>
      <c r="D27" s="20"/>
      <c r="F27" s="20"/>
      <c r="G27" s="33"/>
      <c r="H27" s="32"/>
      <c r="I27" s="32"/>
      <c r="J27" s="32"/>
      <c r="K27" s="4"/>
    </row>
    <row r="28" spans="1:11" ht="12.75">
      <c r="A28" s="20" t="s">
        <v>71</v>
      </c>
      <c r="B28" s="52">
        <v>2500</v>
      </c>
      <c r="C28" s="20" t="s">
        <v>72</v>
      </c>
      <c r="D28" s="20"/>
      <c r="E28" s="53">
        <v>423.57</v>
      </c>
      <c r="F28" s="20" t="s">
        <v>73</v>
      </c>
      <c r="G28" s="33"/>
      <c r="H28" s="32"/>
      <c r="I28" s="32"/>
      <c r="J28" s="32"/>
      <c r="K28" s="4"/>
    </row>
    <row r="29" spans="1:11" ht="12.75">
      <c r="A29" s="20"/>
      <c r="B29" s="52"/>
      <c r="C29" s="20"/>
      <c r="D29" s="20"/>
      <c r="E29" s="53"/>
      <c r="F29" s="20"/>
      <c r="G29" s="33"/>
      <c r="H29" s="32"/>
      <c r="I29" s="32"/>
      <c r="J29" s="32"/>
      <c r="K29" s="4"/>
    </row>
    <row r="30" spans="1:11" ht="12.75">
      <c r="A30" s="20" t="s">
        <v>74</v>
      </c>
      <c r="B30" s="52">
        <f>350000-312826.96</f>
        <v>37173.03999999998</v>
      </c>
      <c r="C30" s="20"/>
      <c r="D30" s="20"/>
      <c r="E30" s="53">
        <v>0</v>
      </c>
      <c r="F30" s="20"/>
      <c r="G30" s="33"/>
      <c r="H30" s="32"/>
      <c r="I30" s="32"/>
      <c r="J30" s="32"/>
      <c r="K30" s="4"/>
    </row>
    <row r="31" spans="1:11" ht="12.75">
      <c r="A31" s="20"/>
      <c r="B31" s="52"/>
      <c r="C31" s="20"/>
      <c r="D31" s="20"/>
      <c r="E31" s="53"/>
      <c r="F31" s="20"/>
      <c r="G31" s="33"/>
      <c r="H31" s="32"/>
      <c r="I31" s="32"/>
      <c r="J31" s="32"/>
      <c r="K31" s="4"/>
    </row>
    <row r="32" spans="1:11" ht="12.75">
      <c r="A32" s="20" t="s">
        <v>75</v>
      </c>
      <c r="B32" s="52">
        <f>20692.5+2377.66-2500</f>
        <v>20570.16</v>
      </c>
      <c r="C32" s="20" t="s">
        <v>76</v>
      </c>
      <c r="D32" s="20"/>
      <c r="E32" s="53">
        <v>18736.49</v>
      </c>
      <c r="F32" s="20" t="s">
        <v>77</v>
      </c>
      <c r="G32" s="33"/>
      <c r="H32" s="32"/>
      <c r="I32" s="32"/>
      <c r="J32" s="32"/>
      <c r="K32" s="4"/>
    </row>
    <row r="33" spans="1:11" ht="12.75">
      <c r="A33" s="20"/>
      <c r="B33" s="52"/>
      <c r="C33" s="20"/>
      <c r="D33" s="20"/>
      <c r="E33" s="53"/>
      <c r="F33" s="20"/>
      <c r="G33" s="33"/>
      <c r="H33" s="32"/>
      <c r="I33" s="32"/>
      <c r="J33" s="32"/>
      <c r="K33" s="4"/>
    </row>
    <row r="34" spans="1:11" ht="12.75">
      <c r="A34" s="20" t="s">
        <v>78</v>
      </c>
      <c r="B34" s="52">
        <f>1434+7489.52</f>
        <v>8923.52</v>
      </c>
      <c r="C34" s="20"/>
      <c r="D34" s="20"/>
      <c r="E34" s="53"/>
      <c r="F34" s="20"/>
      <c r="G34" s="33"/>
      <c r="H34" s="32"/>
      <c r="I34" s="32"/>
      <c r="J34" s="32"/>
      <c r="K34" s="4"/>
    </row>
    <row r="35" spans="1:11" ht="12.75">
      <c r="A35" s="20"/>
      <c r="B35" s="54"/>
      <c r="C35" s="20"/>
      <c r="D35" s="20"/>
      <c r="E35" s="53"/>
      <c r="F35" s="20"/>
      <c r="G35" s="33"/>
      <c r="H35" s="32"/>
      <c r="I35" s="32"/>
      <c r="J35" s="32"/>
      <c r="K35" s="4"/>
    </row>
    <row r="36" spans="1:11" ht="12.75">
      <c r="A36" s="20"/>
      <c r="B36" s="52"/>
      <c r="C36" s="20"/>
      <c r="D36" s="20"/>
      <c r="E36" s="55"/>
      <c r="F36" s="20"/>
      <c r="G36" s="33"/>
      <c r="H36" s="32"/>
      <c r="I36" s="32"/>
      <c r="J36" s="32"/>
      <c r="K36" s="4"/>
    </row>
    <row r="37" spans="1:10" s="34" customFormat="1" ht="13.5">
      <c r="A37" s="41" t="s">
        <v>35</v>
      </c>
      <c r="B37" s="56">
        <f>SUM(B26:B36)</f>
        <v>69176.62999999999</v>
      </c>
      <c r="C37" s="41"/>
      <c r="D37" s="41"/>
      <c r="E37" s="57">
        <f>SUM(E25:E36)</f>
        <v>21932.86</v>
      </c>
      <c r="F37" s="41"/>
      <c r="G37" s="37"/>
      <c r="H37" s="58"/>
      <c r="I37" s="37"/>
      <c r="J37" s="37"/>
    </row>
    <row r="38" spans="1:11" ht="12.75">
      <c r="A38" s="20"/>
      <c r="B38" s="20"/>
      <c r="C38" s="20"/>
      <c r="D38" s="20"/>
      <c r="E38" s="53" t="s">
        <v>0</v>
      </c>
      <c r="F38" s="20"/>
      <c r="G38" s="33"/>
      <c r="H38" s="32"/>
      <c r="I38" s="32"/>
      <c r="J38" s="32"/>
      <c r="K38" s="4"/>
    </row>
    <row r="39" spans="1:6" s="62" customFormat="1" ht="13.5">
      <c r="A39" s="59" t="s">
        <v>79</v>
      </c>
      <c r="B39" s="60">
        <f>B20-B37</f>
        <v>0</v>
      </c>
      <c r="C39" s="59"/>
      <c r="D39" s="59"/>
      <c r="E39" s="61">
        <f>E37-E20</f>
        <v>0</v>
      </c>
      <c r="F39" s="59"/>
    </row>
    <row r="40" spans="1:11" ht="12.75">
      <c r="A40" s="20"/>
      <c r="B40" s="20"/>
      <c r="C40" s="20"/>
      <c r="D40" s="20"/>
      <c r="E40" s="53"/>
      <c r="F40" s="20"/>
      <c r="G40" s="33"/>
      <c r="H40" s="32"/>
      <c r="I40" s="32"/>
      <c r="J40" s="32"/>
      <c r="K40" s="4"/>
    </row>
    <row r="41" spans="1:11" ht="12.75">
      <c r="A41" s="20"/>
      <c r="B41" s="20"/>
      <c r="C41" s="20"/>
      <c r="D41" s="20"/>
      <c r="E41" s="53"/>
      <c r="F41" s="20"/>
      <c r="G41" s="33"/>
      <c r="H41" s="32"/>
      <c r="I41" s="32"/>
      <c r="J41" s="32"/>
      <c r="K41" s="4"/>
    </row>
    <row r="42" spans="1:11" ht="21.75">
      <c r="A42" s="41" t="s">
        <v>80</v>
      </c>
      <c r="B42" s="63">
        <v>122500</v>
      </c>
      <c r="C42" s="64" t="s">
        <v>81</v>
      </c>
      <c r="D42" s="20"/>
      <c r="E42" s="53">
        <f>122500/3*2</f>
        <v>81666.66666666667</v>
      </c>
      <c r="F42" s="20"/>
      <c r="G42" s="33"/>
      <c r="H42" s="32"/>
      <c r="I42" s="32"/>
      <c r="J42" s="32"/>
      <c r="K42" s="4"/>
    </row>
    <row r="43" spans="1:11" ht="12.75">
      <c r="A43" s="20"/>
      <c r="B43" s="20"/>
      <c r="C43" s="20"/>
      <c r="D43" s="20"/>
      <c r="E43" s="20"/>
      <c r="F43" s="20"/>
      <c r="G43" s="33"/>
      <c r="H43" s="32"/>
      <c r="I43" s="32"/>
      <c r="J43" s="32"/>
      <c r="K43" s="4"/>
    </row>
    <row r="44" spans="1:11" ht="12.75">
      <c r="A44" s="4"/>
      <c r="B44" s="4"/>
      <c r="E44" s="4"/>
      <c r="F44" s="4"/>
      <c r="G44" s="32"/>
      <c r="H44" s="32"/>
      <c r="I44" s="32"/>
      <c r="J44" s="32"/>
      <c r="K44" s="4"/>
    </row>
    <row r="45" spans="1:11" ht="12.75">
      <c r="A45" s="4"/>
      <c r="B45" s="4"/>
      <c r="E45" s="4"/>
      <c r="F45" s="4"/>
      <c r="G45" s="32"/>
      <c r="H45" s="32"/>
      <c r="I45" s="32"/>
      <c r="J45" s="32"/>
      <c r="K45" s="4"/>
    </row>
    <row r="46" spans="1:11" ht="12.75">
      <c r="A46" s="4"/>
      <c r="B46" s="4"/>
      <c r="E46" s="4"/>
      <c r="F46" s="4"/>
      <c r="G46" s="32"/>
      <c r="H46" s="32"/>
      <c r="I46" s="32"/>
      <c r="J46" s="32"/>
      <c r="K46" s="4"/>
    </row>
    <row r="47" spans="1:11" ht="12.75">
      <c r="A47" s="4"/>
      <c r="B47" s="4"/>
      <c r="E47" s="4"/>
      <c r="F47" s="4"/>
      <c r="G47" s="32"/>
      <c r="H47" s="32"/>
      <c r="I47" s="32"/>
      <c r="J47" s="32"/>
      <c r="K47" s="4"/>
    </row>
    <row r="48" spans="1:11" ht="12.75">
      <c r="A48" s="4"/>
      <c r="B48" s="4"/>
      <c r="E48" s="4"/>
      <c r="F48" s="4"/>
      <c r="G48" s="32"/>
      <c r="H48" s="32"/>
      <c r="I48" s="32"/>
      <c r="J48" s="32"/>
      <c r="K48" s="4"/>
    </row>
    <row r="49" spans="1:11" ht="12.75">
      <c r="A49" s="4"/>
      <c r="B49" s="4"/>
      <c r="E49" s="4"/>
      <c r="F49" s="4"/>
      <c r="G49" s="32"/>
      <c r="H49" s="32"/>
      <c r="I49" s="32"/>
      <c r="J49" s="32"/>
      <c r="K49" s="4"/>
    </row>
    <row r="50" spans="1:11" ht="12.75">
      <c r="A50" s="4"/>
      <c r="B50" s="4"/>
      <c r="E50" s="4"/>
      <c r="F50" s="4"/>
      <c r="G50" s="32"/>
      <c r="H50" s="32"/>
      <c r="I50" s="32"/>
      <c r="J50" s="32"/>
      <c r="K50" s="4"/>
    </row>
    <row r="51" spans="1:11" ht="12.75">
      <c r="A51" s="4"/>
      <c r="B51" s="4"/>
      <c r="E51" s="4"/>
      <c r="F51" s="4"/>
      <c r="G51" s="32"/>
      <c r="H51" s="32"/>
      <c r="I51" s="32"/>
      <c r="J51" s="32"/>
      <c r="K51" s="4"/>
    </row>
    <row r="52" spans="1:11" ht="12.75">
      <c r="A52" s="4"/>
      <c r="B52" s="4"/>
      <c r="E52" s="4"/>
      <c r="F52" s="4"/>
      <c r="G52" s="32"/>
      <c r="H52" s="32"/>
      <c r="I52" s="32"/>
      <c r="J52" s="32"/>
      <c r="K52" s="4"/>
    </row>
    <row r="53" spans="1:11" ht="12.75">
      <c r="A53" s="4"/>
      <c r="B53" s="4"/>
      <c r="E53" s="4"/>
      <c r="F53" s="4"/>
      <c r="G53" s="32"/>
      <c r="H53" s="32"/>
      <c r="I53" s="32"/>
      <c r="J53" s="32"/>
      <c r="K53" s="4"/>
    </row>
    <row r="54" spans="1:11" ht="12.75">
      <c r="A54" s="4"/>
      <c r="B54" s="4"/>
      <c r="E54" s="4"/>
      <c r="F54" s="4"/>
      <c r="G54" s="32"/>
      <c r="H54" s="32"/>
      <c r="I54" s="32"/>
      <c r="J54" s="32"/>
      <c r="K54" s="4"/>
    </row>
    <row r="55" spans="1:11" ht="12.75">
      <c r="A55" s="4"/>
      <c r="B55" s="4"/>
      <c r="E55" s="4"/>
      <c r="F55" s="4"/>
      <c r="G55" s="32"/>
      <c r="H55" s="32"/>
      <c r="I55" s="32"/>
      <c r="J55" s="32"/>
      <c r="K55" s="4"/>
    </row>
    <row r="56" spans="1:11" ht="12.75">
      <c r="A56" s="4"/>
      <c r="B56" s="4"/>
      <c r="E56" s="4"/>
      <c r="F56" s="4"/>
      <c r="G56" s="32"/>
      <c r="H56" s="32"/>
      <c r="I56" s="32"/>
      <c r="J56" s="32"/>
      <c r="K56" s="4"/>
    </row>
    <row r="57" spans="1:11" ht="12.75">
      <c r="A57" s="4"/>
      <c r="B57" s="4"/>
      <c r="E57" s="4"/>
      <c r="F57" s="4"/>
      <c r="G57" s="32"/>
      <c r="H57" s="32"/>
      <c r="I57" s="32"/>
      <c r="J57" s="32"/>
      <c r="K57" s="4"/>
    </row>
    <row r="58" spans="1:11" ht="12.75">
      <c r="A58" s="4"/>
      <c r="B58" s="4"/>
      <c r="E58" s="4"/>
      <c r="F58" s="4"/>
      <c r="G58" s="32"/>
      <c r="H58" s="32"/>
      <c r="I58" s="32"/>
      <c r="J58" s="32"/>
      <c r="K58" s="4"/>
    </row>
    <row r="59" spans="1:11" ht="12.75">
      <c r="A59" s="4"/>
      <c r="B59" s="4"/>
      <c r="E59" s="4"/>
      <c r="F59" s="4"/>
      <c r="G59" s="32"/>
      <c r="H59" s="32"/>
      <c r="I59" s="32"/>
      <c r="J59" s="32"/>
      <c r="K59" s="4"/>
    </row>
    <row r="60" spans="1:11" ht="12.75">
      <c r="A60" s="4"/>
      <c r="B60" s="4"/>
      <c r="E60" s="4"/>
      <c r="F60" s="4"/>
      <c r="G60" s="32"/>
      <c r="H60" s="32"/>
      <c r="I60" s="32"/>
      <c r="J60" s="32"/>
      <c r="K60" s="4"/>
    </row>
    <row r="61" spans="1:11" ht="12.75">
      <c r="A61" s="4"/>
      <c r="B61" s="4"/>
      <c r="E61" s="4"/>
      <c r="F61" s="4"/>
      <c r="G61" s="32"/>
      <c r="H61" s="32"/>
      <c r="I61" s="32"/>
      <c r="J61" s="32"/>
      <c r="K61" s="4"/>
    </row>
    <row r="62" spans="1:11" ht="12.75">
      <c r="A62" s="4"/>
      <c r="B62" s="4"/>
      <c r="E62" s="4"/>
      <c r="F62" s="4"/>
      <c r="G62" s="32"/>
      <c r="H62" s="32"/>
      <c r="I62" s="32"/>
      <c r="J62" s="32"/>
      <c r="K62" s="4"/>
    </row>
    <row r="63" spans="1:11" ht="12.75">
      <c r="A63" s="4"/>
      <c r="B63" s="4"/>
      <c r="E63" s="4"/>
      <c r="F63" s="4"/>
      <c r="G63" s="32"/>
      <c r="H63" s="32"/>
      <c r="I63" s="32"/>
      <c r="J63" s="32"/>
      <c r="K63" s="4"/>
    </row>
    <row r="64" spans="1:11" ht="12.75">
      <c r="A64" s="4"/>
      <c r="B64" s="4"/>
      <c r="E64" s="4"/>
      <c r="F64" s="4"/>
      <c r="G64" s="32"/>
      <c r="H64" s="32"/>
      <c r="I64" s="32"/>
      <c r="J64" s="32"/>
      <c r="K64" s="4"/>
    </row>
    <row r="65" spans="1:11" ht="12.75">
      <c r="A65" s="4"/>
      <c r="B65" s="4"/>
      <c r="E65" s="4"/>
      <c r="F65" s="4"/>
      <c r="G65" s="32"/>
      <c r="H65" s="32"/>
      <c r="I65" s="32"/>
      <c r="J65" s="32"/>
      <c r="K65" s="4"/>
    </row>
    <row r="66" spans="1:11" ht="12.75">
      <c r="A66" s="4"/>
      <c r="B66" s="4"/>
      <c r="E66" s="4"/>
      <c r="F66" s="4"/>
      <c r="G66" s="32"/>
      <c r="H66" s="32"/>
      <c r="I66" s="32"/>
      <c r="J66" s="32"/>
      <c r="K66" s="4"/>
    </row>
    <row r="67" spans="1:11" ht="12.75">
      <c r="A67" s="4"/>
      <c r="B67" s="4"/>
      <c r="E67" s="4"/>
      <c r="F67" s="4"/>
      <c r="G67" s="32"/>
      <c r="H67" s="32"/>
      <c r="I67" s="32"/>
      <c r="J67" s="32"/>
      <c r="K67" s="4"/>
    </row>
    <row r="68" spans="1:11" ht="12.75">
      <c r="A68" s="4"/>
      <c r="B68" s="4"/>
      <c r="E68" s="4"/>
      <c r="F68" s="4"/>
      <c r="G68" s="32"/>
      <c r="H68" s="32"/>
      <c r="I68" s="32"/>
      <c r="J68" s="32"/>
      <c r="K68" s="4"/>
    </row>
    <row r="69" spans="1:11" ht="12.75">
      <c r="A69" s="4"/>
      <c r="B69" s="4"/>
      <c r="E69" s="4"/>
      <c r="F69" s="4"/>
      <c r="G69" s="32"/>
      <c r="H69" s="32"/>
      <c r="I69" s="32"/>
      <c r="J69" s="32"/>
      <c r="K69" s="4"/>
    </row>
    <row r="70" spans="1:11" ht="12.75">
      <c r="A70" s="4"/>
      <c r="B70" s="4"/>
      <c r="E70" s="4"/>
      <c r="F70" s="4"/>
      <c r="G70" s="32"/>
      <c r="H70" s="32"/>
      <c r="I70" s="32"/>
      <c r="J70" s="32"/>
      <c r="K70" s="4"/>
    </row>
    <row r="71" spans="1:11" ht="12.75">
      <c r="A71" s="4"/>
      <c r="B71" s="4"/>
      <c r="E71" s="4"/>
      <c r="F71" s="4"/>
      <c r="G71" s="32"/>
      <c r="H71" s="32"/>
      <c r="I71" s="32"/>
      <c r="J71" s="32"/>
      <c r="K71" s="4"/>
    </row>
    <row r="72" spans="1:11" ht="12.75">
      <c r="A72" s="4"/>
      <c r="B72" s="4"/>
      <c r="E72" s="4"/>
      <c r="F72" s="4"/>
      <c r="G72" s="32"/>
      <c r="H72" s="32"/>
      <c r="I72" s="32"/>
      <c r="J72" s="32"/>
      <c r="K72" s="4"/>
    </row>
    <row r="73" spans="1:11" ht="12.75">
      <c r="A73" s="4"/>
      <c r="B73" s="4"/>
      <c r="E73" s="4"/>
      <c r="F73" s="4"/>
      <c r="G73" s="32"/>
      <c r="H73" s="32"/>
      <c r="I73" s="32"/>
      <c r="J73" s="32"/>
      <c r="K73" s="4"/>
    </row>
    <row r="74" spans="1:11" ht="12.75">
      <c r="A74" s="4"/>
      <c r="B74" s="4"/>
      <c r="E74" s="4"/>
      <c r="F74" s="4"/>
      <c r="G74" s="32"/>
      <c r="H74" s="32"/>
      <c r="I74" s="32"/>
      <c r="J74" s="32"/>
      <c r="K74" s="4"/>
    </row>
    <row r="75" spans="1:11" ht="12.75">
      <c r="A75" s="4"/>
      <c r="B75" s="4"/>
      <c r="E75" s="4"/>
      <c r="F75" s="4"/>
      <c r="G75" s="32"/>
      <c r="H75" s="32"/>
      <c r="I75" s="32"/>
      <c r="J75" s="32"/>
      <c r="K75" s="4"/>
    </row>
    <row r="76" spans="1:11" ht="12.75">
      <c r="A76" s="4"/>
      <c r="B76" s="4"/>
      <c r="E76" s="4"/>
      <c r="F76" s="4"/>
      <c r="G76" s="32"/>
      <c r="H76" s="32"/>
      <c r="I76" s="32"/>
      <c r="J76" s="32"/>
      <c r="K76" s="4"/>
    </row>
    <row r="77" spans="1:11" ht="12.75">
      <c r="A77" s="4"/>
      <c r="B77" s="4"/>
      <c r="E77" s="4"/>
      <c r="F77" s="4"/>
      <c r="G77" s="32"/>
      <c r="H77" s="32"/>
      <c r="I77" s="32"/>
      <c r="J77" s="32"/>
      <c r="K77" s="4"/>
    </row>
    <row r="78" spans="1:11" ht="12.75">
      <c r="A78" s="4"/>
      <c r="B78" s="4"/>
      <c r="E78" s="4"/>
      <c r="F78" s="4"/>
      <c r="G78" s="32"/>
      <c r="H78" s="32"/>
      <c r="I78" s="32"/>
      <c r="J78" s="32"/>
      <c r="K78" s="4"/>
    </row>
    <row r="79" spans="1:11" ht="12.75">
      <c r="A79" s="4"/>
      <c r="B79" s="4"/>
      <c r="E79" s="4"/>
      <c r="F79" s="4"/>
      <c r="G79" s="32"/>
      <c r="H79" s="32"/>
      <c r="I79" s="32"/>
      <c r="J79" s="32"/>
      <c r="K79" s="4"/>
    </row>
    <row r="80" spans="1:11" ht="12.75">
      <c r="A80" s="4"/>
      <c r="B80" s="4"/>
      <c r="E80" s="4"/>
      <c r="F80" s="4"/>
      <c r="G80" s="32"/>
      <c r="H80" s="32"/>
      <c r="I80" s="32"/>
      <c r="J80" s="32"/>
      <c r="K80" s="4"/>
    </row>
    <row r="81" spans="1:11" ht="12.75">
      <c r="A81" s="4"/>
      <c r="B81" s="4"/>
      <c r="E81" s="4"/>
      <c r="F81" s="4"/>
      <c r="G81" s="32"/>
      <c r="H81" s="32"/>
      <c r="I81" s="32"/>
      <c r="J81" s="32"/>
      <c r="K81" s="4"/>
    </row>
    <row r="82" spans="1:11" ht="12.75">
      <c r="A82" s="4"/>
      <c r="B82" s="4"/>
      <c r="E82" s="4"/>
      <c r="F82" s="4"/>
      <c r="G82" s="32"/>
      <c r="H82" s="32"/>
      <c r="I82" s="32"/>
      <c r="J82" s="32"/>
      <c r="K82" s="4"/>
    </row>
    <row r="83" spans="1:11" ht="12.75">
      <c r="A83" s="4"/>
      <c r="B83" s="4"/>
      <c r="E83" s="4"/>
      <c r="F83" s="4"/>
      <c r="G83" s="32"/>
      <c r="H83" s="32"/>
      <c r="I83" s="32"/>
      <c r="J83" s="32"/>
      <c r="K83" s="4"/>
    </row>
    <row r="84" spans="1:11" ht="12.75">
      <c r="A84" s="4"/>
      <c r="B84" s="4"/>
      <c r="E84" s="4"/>
      <c r="F84" s="4"/>
      <c r="G84" s="32"/>
      <c r="H84" s="32"/>
      <c r="I84" s="32"/>
      <c r="J84" s="32"/>
      <c r="K84" s="4"/>
    </row>
    <row r="85" spans="1:11" ht="12.75">
      <c r="A85" s="4"/>
      <c r="B85" s="4"/>
      <c r="E85" s="4"/>
      <c r="F85" s="4"/>
      <c r="G85" s="32"/>
      <c r="H85" s="32"/>
      <c r="I85" s="32"/>
      <c r="J85" s="32"/>
      <c r="K85" s="4"/>
    </row>
    <row r="86" spans="1:11" ht="12.75">
      <c r="A86" s="4"/>
      <c r="B86" s="4"/>
      <c r="E86" s="4"/>
      <c r="F86" s="4"/>
      <c r="G86" s="32"/>
      <c r="H86" s="32"/>
      <c r="I86" s="32"/>
      <c r="J86" s="32"/>
      <c r="K86" s="4"/>
    </row>
    <row r="87" spans="1:11" ht="12.75">
      <c r="A87" s="4"/>
      <c r="B87" s="4"/>
      <c r="E87" s="4"/>
      <c r="F87" s="4"/>
      <c r="G87" s="32"/>
      <c r="H87" s="32"/>
      <c r="I87" s="32"/>
      <c r="J87" s="32"/>
      <c r="K87" s="4"/>
    </row>
    <row r="88" spans="1:11" ht="12.75">
      <c r="A88" s="4"/>
      <c r="B88" s="4"/>
      <c r="E88" s="4"/>
      <c r="F88" s="4"/>
      <c r="G88" s="32"/>
      <c r="H88" s="32"/>
      <c r="I88" s="32"/>
      <c r="J88" s="32"/>
      <c r="K88" s="4"/>
    </row>
    <row r="89" spans="1:11" ht="12.75">
      <c r="A89" s="4"/>
      <c r="B89" s="4"/>
      <c r="E89" s="4"/>
      <c r="F89" s="4"/>
      <c r="G89" s="32"/>
      <c r="H89" s="32"/>
      <c r="I89" s="32"/>
      <c r="J89" s="32"/>
      <c r="K89" s="4"/>
    </row>
    <row r="90" spans="1:11" ht="12.75">
      <c r="A90" s="4"/>
      <c r="B90" s="4"/>
      <c r="E90" s="4"/>
      <c r="F90" s="4"/>
      <c r="G90" s="32"/>
      <c r="H90" s="32"/>
      <c r="I90" s="32"/>
      <c r="J90" s="32"/>
      <c r="K90" s="4"/>
    </row>
    <row r="91" spans="1:11" ht="12.75">
      <c r="A91" s="4"/>
      <c r="B91" s="4"/>
      <c r="E91" s="4"/>
      <c r="F91" s="4"/>
      <c r="G91" s="32"/>
      <c r="H91" s="32"/>
      <c r="I91" s="32"/>
      <c r="J91" s="32"/>
      <c r="K91" s="4"/>
    </row>
    <row r="92" spans="1:11" ht="12.75">
      <c r="A92" s="4"/>
      <c r="B92" s="4"/>
      <c r="E92" s="4"/>
      <c r="F92" s="4"/>
      <c r="G92" s="32"/>
      <c r="H92" s="32"/>
      <c r="I92" s="32"/>
      <c r="J92" s="32"/>
      <c r="K92" s="4"/>
    </row>
    <row r="93" spans="1:11" ht="12.75">
      <c r="A93" s="4"/>
      <c r="B93" s="4"/>
      <c r="E93" s="4"/>
      <c r="F93" s="4"/>
      <c r="G93" s="32"/>
      <c r="H93" s="32"/>
      <c r="I93" s="32"/>
      <c r="J93" s="32"/>
      <c r="K93" s="4"/>
    </row>
    <row r="94" spans="1:11" ht="12.75">
      <c r="A94" s="4"/>
      <c r="B94" s="4"/>
      <c r="E94" s="4"/>
      <c r="F94" s="4"/>
      <c r="G94" s="32"/>
      <c r="H94" s="32"/>
      <c r="I94" s="32"/>
      <c r="J94" s="32"/>
      <c r="K94" s="4"/>
    </row>
    <row r="95" spans="1:11" ht="12.75">
      <c r="A95" s="4"/>
      <c r="B95" s="4"/>
      <c r="E95" s="4"/>
      <c r="F95" s="4"/>
      <c r="G95" s="32"/>
      <c r="H95" s="32"/>
      <c r="I95" s="32"/>
      <c r="J95" s="32"/>
      <c r="K95" s="4"/>
    </row>
    <row r="96" spans="1:11" ht="12.75">
      <c r="A96" s="4"/>
      <c r="B96" s="4"/>
      <c r="E96" s="4"/>
      <c r="F96" s="4"/>
      <c r="G96" s="32"/>
      <c r="H96" s="32"/>
      <c r="I96" s="32"/>
      <c r="J96" s="32"/>
      <c r="K96" s="4"/>
    </row>
    <row r="97" spans="1:11" ht="12.75">
      <c r="A97" s="4"/>
      <c r="B97" s="4"/>
      <c r="E97" s="4"/>
      <c r="F97" s="4"/>
      <c r="G97" s="32"/>
      <c r="H97" s="32"/>
      <c r="I97" s="32"/>
      <c r="J97" s="32"/>
      <c r="K97" s="4"/>
    </row>
    <row r="98" spans="1:11" ht="12.75">
      <c r="A98" s="4"/>
      <c r="B98" s="4"/>
      <c r="E98" s="4"/>
      <c r="F98" s="4"/>
      <c r="G98" s="32"/>
      <c r="H98" s="32"/>
      <c r="I98" s="32"/>
      <c r="J98" s="32"/>
      <c r="K98" s="4"/>
    </row>
    <row r="99" spans="1:11" ht="12.75">
      <c r="A99" s="4"/>
      <c r="B99" s="4"/>
      <c r="E99" s="4"/>
      <c r="F99" s="4"/>
      <c r="G99" s="32"/>
      <c r="H99" s="32"/>
      <c r="I99" s="32"/>
      <c r="J99" s="32"/>
      <c r="K99" s="4"/>
    </row>
    <row r="100" spans="1:11" ht="12.75">
      <c r="A100" s="4"/>
      <c r="B100" s="4"/>
      <c r="E100" s="4"/>
      <c r="F100" s="4"/>
      <c r="G100" s="32"/>
      <c r="H100" s="32"/>
      <c r="I100" s="32"/>
      <c r="J100" s="32"/>
      <c r="K100" s="4"/>
    </row>
    <row r="101" spans="1:11" ht="12.75">
      <c r="A101" s="4"/>
      <c r="B101" s="4"/>
      <c r="E101" s="4"/>
      <c r="F101" s="4"/>
      <c r="G101" s="32"/>
      <c r="H101" s="32"/>
      <c r="I101" s="32"/>
      <c r="J101" s="32"/>
      <c r="K101" s="4"/>
    </row>
    <row r="102" spans="1:11" ht="12.75">
      <c r="A102" s="4"/>
      <c r="B102" s="4"/>
      <c r="E102" s="4"/>
      <c r="F102" s="4"/>
      <c r="G102" s="32"/>
      <c r="H102" s="32"/>
      <c r="I102" s="32"/>
      <c r="J102" s="32"/>
      <c r="K102" s="4"/>
    </row>
    <row r="103" spans="1:11" ht="12.75">
      <c r="A103" s="4"/>
      <c r="B103" s="4"/>
      <c r="E103" s="4"/>
      <c r="F103" s="4"/>
      <c r="G103" s="32"/>
      <c r="H103" s="32"/>
      <c r="I103" s="32"/>
      <c r="J103" s="32"/>
      <c r="K103" s="4"/>
    </row>
    <row r="104" spans="1:11" ht="12.75">
      <c r="A104" s="4"/>
      <c r="B104" s="4"/>
      <c r="E104" s="4"/>
      <c r="F104" s="4"/>
      <c r="G104" s="32"/>
      <c r="H104" s="32"/>
      <c r="I104" s="32"/>
      <c r="J104" s="32"/>
      <c r="K104" s="4"/>
    </row>
    <row r="105" spans="1:11" ht="12.75">
      <c r="A105" s="4"/>
      <c r="B105" s="4"/>
      <c r="E105" s="4"/>
      <c r="F105" s="4"/>
      <c r="G105" s="32"/>
      <c r="H105" s="32"/>
      <c r="I105" s="32"/>
      <c r="J105" s="32"/>
      <c r="K105" s="4"/>
    </row>
    <row r="106" spans="1:11" ht="12.75">
      <c r="A106" s="4"/>
      <c r="B106" s="4"/>
      <c r="E106" s="4"/>
      <c r="F106" s="4"/>
      <c r="G106" s="32"/>
      <c r="H106" s="32"/>
      <c r="I106" s="32"/>
      <c r="J106" s="32"/>
      <c r="K106" s="4"/>
    </row>
    <row r="107" spans="1:11" ht="12.75">
      <c r="A107" s="4"/>
      <c r="B107" s="4"/>
      <c r="E107" s="4"/>
      <c r="F107" s="4"/>
      <c r="G107" s="32"/>
      <c r="H107" s="32"/>
      <c r="I107" s="32"/>
      <c r="J107" s="32"/>
      <c r="K107" s="4"/>
    </row>
    <row r="108" spans="1:11" ht="12.75">
      <c r="A108" s="4"/>
      <c r="B108" s="4"/>
      <c r="E108" s="4"/>
      <c r="F108" s="4"/>
      <c r="G108" s="32"/>
      <c r="H108" s="32"/>
      <c r="I108" s="32"/>
      <c r="J108" s="32"/>
      <c r="K108" s="4"/>
    </row>
    <row r="109" spans="1:11" ht="12.75">
      <c r="A109" s="4"/>
      <c r="B109" s="4"/>
      <c r="E109" s="4"/>
      <c r="F109" s="4"/>
      <c r="G109" s="32"/>
      <c r="H109" s="32"/>
      <c r="I109" s="32"/>
      <c r="J109" s="32"/>
      <c r="K109" s="4"/>
    </row>
    <row r="110" spans="1:11" ht="12.75">
      <c r="A110" s="4"/>
      <c r="B110" s="4"/>
      <c r="E110" s="4"/>
      <c r="F110" s="4"/>
      <c r="G110" s="32"/>
      <c r="H110" s="32"/>
      <c r="I110" s="32"/>
      <c r="J110" s="32"/>
      <c r="K110" s="4"/>
    </row>
    <row r="111" spans="1:11" ht="12.75">
      <c r="A111" s="4"/>
      <c r="B111" s="4"/>
      <c r="E111" s="4"/>
      <c r="F111" s="4"/>
      <c r="G111" s="32"/>
      <c r="H111" s="32"/>
      <c r="I111" s="32"/>
      <c r="J111" s="32"/>
      <c r="K111" s="4"/>
    </row>
    <row r="112" spans="1:11" ht="12.75">
      <c r="A112" s="4"/>
      <c r="B112" s="4"/>
      <c r="E112" s="4"/>
      <c r="F112" s="4"/>
      <c r="G112" s="32"/>
      <c r="H112" s="32"/>
      <c r="I112" s="32"/>
      <c r="J112" s="32"/>
      <c r="K112" s="4"/>
    </row>
    <row r="113" spans="1:11" ht="12.75">
      <c r="A113" s="4"/>
      <c r="B113" s="4"/>
      <c r="E113" s="4"/>
      <c r="F113" s="4"/>
      <c r="G113" s="32"/>
      <c r="H113" s="32"/>
      <c r="I113" s="32"/>
      <c r="J113" s="32"/>
      <c r="K113" s="4"/>
    </row>
    <row r="114" spans="1:11" ht="12.75">
      <c r="A114" s="4"/>
      <c r="B114" s="4"/>
      <c r="E114" s="4"/>
      <c r="F114" s="4"/>
      <c r="G114" s="32"/>
      <c r="H114" s="32"/>
      <c r="I114" s="32"/>
      <c r="J114" s="32"/>
      <c r="K114" s="4"/>
    </row>
    <row r="115" spans="1:11" ht="12.75">
      <c r="A115" s="4"/>
      <c r="B115" s="4"/>
      <c r="E115" s="4"/>
      <c r="F115" s="4"/>
      <c r="G115" s="32"/>
      <c r="H115" s="32"/>
      <c r="I115" s="32"/>
      <c r="J115" s="32"/>
      <c r="K115" s="4"/>
    </row>
    <row r="116" spans="1:11" ht="12.75">
      <c r="A116" s="4"/>
      <c r="B116" s="4"/>
      <c r="E116" s="4"/>
      <c r="F116" s="4"/>
      <c r="G116" s="32"/>
      <c r="H116" s="32"/>
      <c r="I116" s="32"/>
      <c r="J116" s="32"/>
      <c r="K116" s="4"/>
    </row>
    <row r="117" spans="1:11" ht="12.75">
      <c r="A117" s="4"/>
      <c r="B117" s="4"/>
      <c r="E117" s="4"/>
      <c r="F117" s="4"/>
      <c r="G117" s="32"/>
      <c r="H117" s="32"/>
      <c r="I117" s="32"/>
      <c r="J117" s="32"/>
      <c r="K117" s="4"/>
    </row>
    <row r="118" spans="1:11" ht="12.75">
      <c r="A118" s="4"/>
      <c r="B118" s="4"/>
      <c r="E118" s="4"/>
      <c r="F118" s="4"/>
      <c r="G118" s="32"/>
      <c r="H118" s="32"/>
      <c r="I118" s="32"/>
      <c r="J118" s="32"/>
      <c r="K118" s="4"/>
    </row>
    <row r="119" spans="1:11" ht="12.75">
      <c r="A119" s="4"/>
      <c r="B119" s="4"/>
      <c r="E119" s="4"/>
      <c r="F119" s="4"/>
      <c r="G119" s="32"/>
      <c r="H119" s="32"/>
      <c r="I119" s="32"/>
      <c r="J119" s="32"/>
      <c r="K119" s="4"/>
    </row>
    <row r="120" spans="1:11" ht="12.75">
      <c r="A120" s="4"/>
      <c r="B120" s="4"/>
      <c r="E120" s="4"/>
      <c r="F120" s="4"/>
      <c r="G120" s="32"/>
      <c r="H120" s="32"/>
      <c r="I120" s="32"/>
      <c r="J120" s="32"/>
      <c r="K120" s="4"/>
    </row>
    <row r="121" spans="1:11" ht="12.75">
      <c r="A121" s="4"/>
      <c r="B121" s="4"/>
      <c r="E121" s="4"/>
      <c r="F121" s="4"/>
      <c r="G121" s="32"/>
      <c r="H121" s="32"/>
      <c r="I121" s="32"/>
      <c r="J121" s="32"/>
      <c r="K121" s="4"/>
    </row>
    <row r="122" spans="1:11" ht="12.75">
      <c r="A122" s="4"/>
      <c r="B122" s="4"/>
      <c r="E122" s="4"/>
      <c r="F122" s="4"/>
      <c r="G122" s="32"/>
      <c r="H122" s="32"/>
      <c r="I122" s="32"/>
      <c r="J122" s="32"/>
      <c r="K122" s="4"/>
    </row>
    <row r="123" spans="1:11" ht="12.75">
      <c r="A123" s="4"/>
      <c r="B123" s="4"/>
      <c r="E123" s="4"/>
      <c r="F123" s="4"/>
      <c r="G123" s="32"/>
      <c r="H123" s="32"/>
      <c r="I123" s="32"/>
      <c r="J123" s="32"/>
      <c r="K123" s="4"/>
    </row>
    <row r="124" spans="1:11" ht="12.75">
      <c r="A124" s="4"/>
      <c r="B124" s="4"/>
      <c r="E124" s="4"/>
      <c r="F124" s="4"/>
      <c r="G124" s="32"/>
      <c r="H124" s="32"/>
      <c r="I124" s="32"/>
      <c r="J124" s="32"/>
      <c r="K124" s="4"/>
    </row>
    <row r="125" spans="1:11" ht="12.75">
      <c r="A125" s="4"/>
      <c r="B125" s="4"/>
      <c r="E125" s="4"/>
      <c r="F125" s="4"/>
      <c r="G125" s="32"/>
      <c r="H125" s="32"/>
      <c r="I125" s="32"/>
      <c r="J125" s="32"/>
      <c r="K125" s="4"/>
    </row>
    <row r="126" spans="1:11" ht="12.75">
      <c r="A126" s="4"/>
      <c r="B126" s="4"/>
      <c r="E126" s="4"/>
      <c r="F126" s="4"/>
      <c r="G126" s="32"/>
      <c r="H126" s="32"/>
      <c r="I126" s="32"/>
      <c r="J126" s="32"/>
      <c r="K126" s="4"/>
    </row>
    <row r="127" spans="1:11" ht="12.75">
      <c r="A127" s="4"/>
      <c r="B127" s="4"/>
      <c r="E127" s="4"/>
      <c r="F127" s="4"/>
      <c r="G127" s="32"/>
      <c r="H127" s="32"/>
      <c r="I127" s="32"/>
      <c r="J127" s="32"/>
      <c r="K127" s="4"/>
    </row>
    <row r="128" spans="1:11" ht="12.75">
      <c r="A128" s="4"/>
      <c r="B128" s="4"/>
      <c r="E128" s="4"/>
      <c r="F128" s="4"/>
      <c r="G128" s="32"/>
      <c r="H128" s="32"/>
      <c r="I128" s="32"/>
      <c r="J128" s="32"/>
      <c r="K128" s="4"/>
    </row>
    <row r="129" spans="1:11" ht="12.75">
      <c r="A129" s="4"/>
      <c r="B129" s="4"/>
      <c r="E129" s="4"/>
      <c r="F129" s="4"/>
      <c r="G129" s="32"/>
      <c r="H129" s="32"/>
      <c r="I129" s="32"/>
      <c r="J129" s="32"/>
      <c r="K129" s="4"/>
    </row>
    <row r="130" spans="1:11" ht="12.75">
      <c r="A130" s="4"/>
      <c r="B130" s="4"/>
      <c r="E130" s="4"/>
      <c r="F130" s="4"/>
      <c r="G130" s="32"/>
      <c r="H130" s="32"/>
      <c r="I130" s="32"/>
      <c r="J130" s="32"/>
      <c r="K130" s="4"/>
    </row>
    <row r="131" spans="1:11" ht="12.75">
      <c r="A131" s="4"/>
      <c r="B131" s="4"/>
      <c r="E131" s="4"/>
      <c r="F131" s="4"/>
      <c r="G131" s="32"/>
      <c r="H131" s="32"/>
      <c r="I131" s="32"/>
      <c r="J131" s="32"/>
      <c r="K131" s="4"/>
    </row>
    <row r="132" spans="1:11" ht="12.75">
      <c r="A132" s="4"/>
      <c r="B132" s="4"/>
      <c r="E132" s="4"/>
      <c r="F132" s="4"/>
      <c r="G132" s="32"/>
      <c r="H132" s="32"/>
      <c r="I132" s="32"/>
      <c r="J132" s="32"/>
      <c r="K132" s="4"/>
    </row>
    <row r="133" spans="1:11" ht="12.75">
      <c r="A133" s="4"/>
      <c r="B133" s="4"/>
      <c r="E133" s="4"/>
      <c r="F133" s="4"/>
      <c r="G133" s="32"/>
      <c r="H133" s="32"/>
      <c r="I133" s="32"/>
      <c r="J133" s="32"/>
      <c r="K133" s="4"/>
    </row>
    <row r="134" spans="1:11" ht="12.75">
      <c r="A134" s="4"/>
      <c r="B134" s="4"/>
      <c r="E134" s="4"/>
      <c r="F134" s="4"/>
      <c r="G134" s="32"/>
      <c r="H134" s="32"/>
      <c r="I134" s="32"/>
      <c r="J134" s="32"/>
      <c r="K134" s="4"/>
    </row>
    <row r="135" spans="1:11" ht="12.75">
      <c r="A135" s="4"/>
      <c r="B135" s="4"/>
      <c r="E135" s="4"/>
      <c r="F135" s="4"/>
      <c r="G135" s="32"/>
      <c r="H135" s="32"/>
      <c r="I135" s="32"/>
      <c r="J135" s="32"/>
      <c r="K135" s="4"/>
    </row>
    <row r="136" spans="1:11" ht="12.75">
      <c r="A136" s="4"/>
      <c r="B136" s="4"/>
      <c r="E136" s="4"/>
      <c r="F136" s="4"/>
      <c r="G136" s="32"/>
      <c r="H136" s="32"/>
      <c r="I136" s="32"/>
      <c r="J136" s="32"/>
      <c r="K136" s="4"/>
    </row>
    <row r="137" spans="1:11" ht="12.75">
      <c r="A137" s="4"/>
      <c r="B137" s="4"/>
      <c r="E137" s="4"/>
      <c r="F137" s="4"/>
      <c r="G137" s="32"/>
      <c r="H137" s="32"/>
      <c r="I137" s="32"/>
      <c r="J137" s="32"/>
      <c r="K137" s="4"/>
    </row>
    <row r="138" spans="1:11" ht="12.75">
      <c r="A138" s="4"/>
      <c r="B138" s="4"/>
      <c r="E138" s="4"/>
      <c r="F138" s="4"/>
      <c r="G138" s="32"/>
      <c r="H138" s="32"/>
      <c r="I138" s="32"/>
      <c r="J138" s="32"/>
      <c r="K138" s="4"/>
    </row>
    <row r="139" spans="1:11" ht="12.75">
      <c r="A139" s="4"/>
      <c r="B139" s="4"/>
      <c r="E139" s="4"/>
      <c r="F139" s="4"/>
      <c r="G139" s="32"/>
      <c r="H139" s="32"/>
      <c r="I139" s="32"/>
      <c r="J139" s="32"/>
      <c r="K139" s="4"/>
    </row>
    <row r="140" spans="1:11" ht="12.75">
      <c r="A140" s="4"/>
      <c r="B140" s="4"/>
      <c r="E140" s="4"/>
      <c r="F140" s="4"/>
      <c r="G140" s="32"/>
      <c r="H140" s="32"/>
      <c r="I140" s="32"/>
      <c r="J140" s="32"/>
      <c r="K140" s="4"/>
    </row>
    <row r="141" spans="1:11" ht="12.75">
      <c r="A141" s="4"/>
      <c r="B141" s="4"/>
      <c r="E141" s="4"/>
      <c r="F141" s="4"/>
      <c r="G141" s="32"/>
      <c r="H141" s="32"/>
      <c r="I141" s="32"/>
      <c r="J141" s="32"/>
      <c r="K141" s="4"/>
    </row>
    <row r="142" spans="1:11" ht="12.75">
      <c r="A142" s="4"/>
      <c r="B142" s="4"/>
      <c r="E142" s="4"/>
      <c r="F142" s="4"/>
      <c r="G142" s="32"/>
      <c r="H142" s="32"/>
      <c r="I142" s="32"/>
      <c r="J142" s="32"/>
      <c r="K142" s="4"/>
    </row>
    <row r="143" spans="1:11" ht="12.75">
      <c r="A143" s="4"/>
      <c r="B143" s="4"/>
      <c r="E143" s="4"/>
      <c r="F143" s="4"/>
      <c r="G143" s="32"/>
      <c r="H143" s="32"/>
      <c r="I143" s="32"/>
      <c r="J143" s="32"/>
      <c r="K143" s="4"/>
    </row>
    <row r="144" spans="1:11" ht="12.75">
      <c r="A144" s="4"/>
      <c r="B144" s="4"/>
      <c r="E144" s="4"/>
      <c r="F144" s="4"/>
      <c r="G144" s="32"/>
      <c r="H144" s="32"/>
      <c r="I144" s="32"/>
      <c r="J144" s="32"/>
      <c r="K144" s="4"/>
    </row>
    <row r="145" spans="1:11" ht="12.75">
      <c r="A145" s="4"/>
      <c r="B145" s="4"/>
      <c r="E145" s="4"/>
      <c r="F145" s="4"/>
      <c r="G145" s="32"/>
      <c r="H145" s="32"/>
      <c r="I145" s="32"/>
      <c r="J145" s="32"/>
      <c r="K145" s="4"/>
    </row>
    <row r="146" spans="1:11" ht="12.75">
      <c r="A146" s="4"/>
      <c r="B146" s="4"/>
      <c r="E146" s="4"/>
      <c r="F146" s="4"/>
      <c r="G146" s="32"/>
      <c r="H146" s="32"/>
      <c r="I146" s="32"/>
      <c r="J146" s="32"/>
      <c r="K146" s="4"/>
    </row>
    <row r="147" spans="1:11" ht="12.75">
      <c r="A147" s="4"/>
      <c r="B147" s="4"/>
      <c r="E147" s="4"/>
      <c r="F147" s="4"/>
      <c r="G147" s="32"/>
      <c r="H147" s="32"/>
      <c r="I147" s="32"/>
      <c r="J147" s="32"/>
      <c r="K147" s="4"/>
    </row>
    <row r="148" spans="1:11" ht="12.75">
      <c r="A148" s="4"/>
      <c r="B148" s="4"/>
      <c r="E148" s="4"/>
      <c r="F148" s="4"/>
      <c r="G148" s="32"/>
      <c r="H148" s="32"/>
      <c r="I148" s="32"/>
      <c r="J148" s="32"/>
      <c r="K148" s="4"/>
    </row>
    <row r="149" spans="1:11" ht="12.75">
      <c r="A149" s="4"/>
      <c r="B149" s="4"/>
      <c r="E149" s="4"/>
      <c r="F149" s="4"/>
      <c r="G149" s="32"/>
      <c r="H149" s="32"/>
      <c r="I149" s="32"/>
      <c r="J149" s="32"/>
      <c r="K149" s="4"/>
    </row>
    <row r="150" spans="1:11" ht="12.75">
      <c r="A150" s="4"/>
      <c r="B150" s="4"/>
      <c r="E150" s="4"/>
      <c r="F150" s="4"/>
      <c r="G150" s="32"/>
      <c r="H150" s="32"/>
      <c r="I150" s="32"/>
      <c r="J150" s="32"/>
      <c r="K150" s="4"/>
    </row>
    <row r="151" spans="1:11" ht="12.75">
      <c r="A151" s="4"/>
      <c r="B151" s="4"/>
      <c r="E151" s="4"/>
      <c r="F151" s="4"/>
      <c r="G151" s="32"/>
      <c r="H151" s="32"/>
      <c r="I151" s="32"/>
      <c r="J151" s="32"/>
      <c r="K151" s="4"/>
    </row>
    <row r="152" spans="1:11" ht="12.75">
      <c r="A152" s="4"/>
      <c r="B152" s="4"/>
      <c r="E152" s="4"/>
      <c r="F152" s="4"/>
      <c r="G152" s="32"/>
      <c r="H152" s="32"/>
      <c r="I152" s="32"/>
      <c r="J152" s="32"/>
      <c r="K152" s="4"/>
    </row>
    <row r="153" spans="1:11" ht="12.75">
      <c r="A153" s="4"/>
      <c r="B153" s="4"/>
      <c r="E153" s="4"/>
      <c r="F153" s="4"/>
      <c r="G153" s="32"/>
      <c r="H153" s="32"/>
      <c r="I153" s="32"/>
      <c r="J153" s="32"/>
      <c r="K153" s="4"/>
    </row>
    <row r="154" spans="1:11" ht="12.75">
      <c r="A154" s="4"/>
      <c r="B154" s="4"/>
      <c r="E154" s="4"/>
      <c r="F154" s="4"/>
      <c r="G154" s="32"/>
      <c r="H154" s="32"/>
      <c r="I154" s="32"/>
      <c r="J154" s="32"/>
      <c r="K154" s="4"/>
    </row>
    <row r="155" spans="1:11" ht="12.75">
      <c r="A155" s="4"/>
      <c r="B155" s="4"/>
      <c r="E155" s="4"/>
      <c r="F155" s="4"/>
      <c r="G155" s="32"/>
      <c r="H155" s="32"/>
      <c r="I155" s="32"/>
      <c r="J155" s="32"/>
      <c r="K155" s="4"/>
    </row>
    <row r="156" spans="1:11" ht="12.75">
      <c r="A156" s="4"/>
      <c r="B156" s="4"/>
      <c r="E156" s="4"/>
      <c r="F156" s="4"/>
      <c r="G156" s="32"/>
      <c r="H156" s="32"/>
      <c r="I156" s="32"/>
      <c r="J156" s="32"/>
      <c r="K156" s="4"/>
    </row>
    <row r="157" spans="1:11" ht="12.75">
      <c r="A157" s="4"/>
      <c r="B157" s="4"/>
      <c r="E157" s="4"/>
      <c r="F157" s="4"/>
      <c r="G157" s="32"/>
      <c r="H157" s="32"/>
      <c r="I157" s="32"/>
      <c r="J157" s="32"/>
      <c r="K157" s="4"/>
    </row>
    <row r="158" spans="1:11" ht="12.75">
      <c r="A158" s="4"/>
      <c r="B158" s="4"/>
      <c r="E158" s="4"/>
      <c r="F158" s="4"/>
      <c r="G158" s="32"/>
      <c r="H158" s="32"/>
      <c r="I158" s="32"/>
      <c r="J158" s="32"/>
      <c r="K158" s="4"/>
    </row>
    <row r="159" spans="1:11" ht="12.75">
      <c r="A159" s="4"/>
      <c r="B159" s="4"/>
      <c r="E159" s="4"/>
      <c r="F159" s="4"/>
      <c r="G159" s="32"/>
      <c r="H159" s="32"/>
      <c r="I159" s="32"/>
      <c r="J159" s="32"/>
      <c r="K159" s="4"/>
    </row>
    <row r="160" spans="1:11" ht="12.75">
      <c r="A160" s="4"/>
      <c r="B160" s="4"/>
      <c r="E160" s="4"/>
      <c r="F160" s="4"/>
      <c r="G160" s="32"/>
      <c r="H160" s="32"/>
      <c r="I160" s="32"/>
      <c r="J160" s="32"/>
      <c r="K160" s="4"/>
    </row>
    <row r="161" spans="1:11" ht="12.75">
      <c r="A161" s="4"/>
      <c r="B161" s="4"/>
      <c r="E161" s="4"/>
      <c r="F161" s="4"/>
      <c r="G161" s="32"/>
      <c r="H161" s="32"/>
      <c r="I161" s="32"/>
      <c r="J161" s="32"/>
      <c r="K161" s="4"/>
    </row>
    <row r="162" spans="1:11" ht="12.75">
      <c r="A162" s="4"/>
      <c r="B162" s="4"/>
      <c r="E162" s="4"/>
      <c r="F162" s="4"/>
      <c r="G162" s="32"/>
      <c r="H162" s="32"/>
      <c r="I162" s="32"/>
      <c r="J162" s="32"/>
      <c r="K162" s="4"/>
    </row>
    <row r="163" spans="1:11" ht="12.75">
      <c r="A163" s="4"/>
      <c r="B163" s="4"/>
      <c r="E163" s="4"/>
      <c r="F163" s="4"/>
      <c r="G163" s="32"/>
      <c r="H163" s="32"/>
      <c r="I163" s="32"/>
      <c r="J163" s="32"/>
      <c r="K163" s="4"/>
    </row>
    <row r="164" spans="1:11" ht="12.75">
      <c r="A164" s="4"/>
      <c r="B164" s="4"/>
      <c r="E164" s="4"/>
      <c r="F164" s="4"/>
      <c r="G164" s="32"/>
      <c r="H164" s="32"/>
      <c r="I164" s="32"/>
      <c r="J164" s="32"/>
      <c r="K164" s="4"/>
    </row>
    <row r="165" spans="1:11" ht="12.75">
      <c r="A165" s="4"/>
      <c r="B165" s="4"/>
      <c r="E165" s="4"/>
      <c r="F165" s="4"/>
      <c r="G165" s="32"/>
      <c r="H165" s="32"/>
      <c r="I165" s="32"/>
      <c r="J165" s="32"/>
      <c r="K165" s="4"/>
    </row>
    <row r="166" spans="1:11" ht="12.75">
      <c r="A166" s="4"/>
      <c r="B166" s="4"/>
      <c r="E166" s="4"/>
      <c r="F166" s="4"/>
      <c r="G166" s="32"/>
      <c r="H166" s="32"/>
      <c r="I166" s="32"/>
      <c r="J166" s="32"/>
      <c r="K166" s="4"/>
    </row>
    <row r="167" spans="1:11" ht="12.75">
      <c r="A167" s="4"/>
      <c r="B167" s="4"/>
      <c r="E167" s="4"/>
      <c r="F167" s="4"/>
      <c r="G167" s="32"/>
      <c r="H167" s="32"/>
      <c r="I167" s="32"/>
      <c r="J167" s="32"/>
      <c r="K167" s="4"/>
    </row>
    <row r="168" spans="1:11" ht="12.75">
      <c r="A168" s="4"/>
      <c r="B168" s="4"/>
      <c r="E168" s="4"/>
      <c r="F168" s="4"/>
      <c r="G168" s="32"/>
      <c r="H168" s="32"/>
      <c r="I168" s="32"/>
      <c r="J168" s="32"/>
      <c r="K168" s="4"/>
    </row>
  </sheetData>
  <sheetProtection selectLockedCells="1" selectUnlockedCells="1"/>
  <printOptions/>
  <pageMargins left="0.6097222222222223" right="0.24027777777777778" top="0.5701388888888889" bottom="0.9097222222222222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view="pageBreakPreview" zoomScale="82" zoomScaleNormal="110" zoomScaleSheetLayoutView="82" workbookViewId="0" topLeftCell="A1">
      <selection activeCell="F52" sqref="F52"/>
    </sheetView>
  </sheetViews>
  <sheetFormatPr defaultColWidth="9.140625" defaultRowHeight="12.75"/>
  <cols>
    <col min="1" max="1" width="7.8515625" style="65" customWidth="1"/>
    <col min="2" max="2" width="35.7109375" style="20" customWidth="1"/>
    <col min="3" max="3" width="11.7109375" style="66" customWidth="1"/>
    <col min="4" max="4" width="17.421875" style="20" customWidth="1"/>
    <col min="5" max="5" width="8.7109375" style="67" customWidth="1"/>
    <col min="6" max="6" width="21.421875" style="20" customWidth="1"/>
    <col min="7" max="7" width="12.7109375" style="41" customWidth="1"/>
    <col min="8" max="8" width="5.57421875" style="20" customWidth="1"/>
    <col min="9" max="9" width="23.140625" style="20" customWidth="1"/>
    <col min="10" max="10" width="11.421875" style="20" customWidth="1"/>
    <col min="11" max="11" width="13.421875" style="20" customWidth="1"/>
  </cols>
  <sheetData>
    <row r="1" spans="1:3" ht="12.75">
      <c r="A1" s="68"/>
      <c r="B1" s="41" t="s">
        <v>82</v>
      </c>
      <c r="C1" s="69">
        <v>2010</v>
      </c>
    </row>
    <row r="2" ht="12.75">
      <c r="A2" s="68"/>
    </row>
    <row r="3" spans="1:7" ht="15">
      <c r="A3" s="68"/>
      <c r="B3" s="3" t="s">
        <v>83</v>
      </c>
      <c r="C3" s="70">
        <f>SUM(G13:G146)</f>
        <v>31492.710000000003</v>
      </c>
      <c r="D3" s="71"/>
      <c r="G3" s="41" t="s">
        <v>0</v>
      </c>
    </row>
    <row r="5" spans="1:5" ht="12.75">
      <c r="A5" s="72" t="s">
        <v>84</v>
      </c>
      <c r="B5" s="73" t="s">
        <v>85</v>
      </c>
      <c r="C5" s="74" t="s">
        <v>86</v>
      </c>
      <c r="D5" s="73" t="s">
        <v>87</v>
      </c>
      <c r="E5" s="75" t="s">
        <v>88</v>
      </c>
    </row>
    <row r="6" spans="1:12" ht="12.75">
      <c r="A6" s="76"/>
      <c r="B6" s="77" t="s">
        <v>89</v>
      </c>
      <c r="C6" s="78">
        <f>321+66.47+22.89</f>
        <v>410.36</v>
      </c>
      <c r="D6" s="77" t="s">
        <v>90</v>
      </c>
      <c r="E6" s="79" t="s">
        <v>91</v>
      </c>
      <c r="F6" s="71"/>
      <c r="H6" s="20" t="s">
        <v>92</v>
      </c>
      <c r="K6" s="80"/>
      <c r="L6" s="81"/>
    </row>
    <row r="7" spans="1:5" ht="12.75">
      <c r="A7" s="76">
        <v>40627</v>
      </c>
      <c r="B7" s="77" t="s">
        <v>89</v>
      </c>
      <c r="C7" s="78">
        <v>12.99</v>
      </c>
      <c r="D7" s="77" t="s">
        <v>90</v>
      </c>
      <c r="E7" s="79" t="s">
        <v>93</v>
      </c>
    </row>
    <row r="8" spans="1:5" ht="12.75">
      <c r="A8" s="76">
        <v>40612</v>
      </c>
      <c r="B8" s="77" t="s">
        <v>94</v>
      </c>
      <c r="C8" s="78">
        <v>35</v>
      </c>
      <c r="D8" s="77" t="s">
        <v>90</v>
      </c>
      <c r="E8" s="79" t="s">
        <v>95</v>
      </c>
    </row>
    <row r="9" spans="1:12" ht="12.75">
      <c r="A9" s="76"/>
      <c r="B9" s="77" t="s">
        <v>96</v>
      </c>
      <c r="C9" s="78">
        <v>88</v>
      </c>
      <c r="D9" s="77" t="s">
        <v>90</v>
      </c>
      <c r="E9" s="79" t="s">
        <v>97</v>
      </c>
      <c r="H9" s="82"/>
      <c r="I9" s="83"/>
      <c r="J9" s="84"/>
      <c r="K9" s="85"/>
      <c r="L9" s="80"/>
    </row>
    <row r="10" spans="1:12" ht="12.75">
      <c r="A10" s="76"/>
      <c r="B10" s="77" t="s">
        <v>98</v>
      </c>
      <c r="C10" s="78">
        <v>80</v>
      </c>
      <c r="D10" s="77" t="s">
        <v>90</v>
      </c>
      <c r="E10" s="79" t="s">
        <v>99</v>
      </c>
      <c r="H10" s="86"/>
      <c r="I10" s="77" t="s">
        <v>100</v>
      </c>
      <c r="J10" s="87">
        <v>351.21</v>
      </c>
      <c r="K10" s="88" t="s">
        <v>101</v>
      </c>
      <c r="L10" s="80"/>
    </row>
    <row r="11" spans="1:11" ht="12.75">
      <c r="A11" s="76"/>
      <c r="B11" s="77" t="s">
        <v>96</v>
      </c>
      <c r="C11" s="78">
        <v>16.15</v>
      </c>
      <c r="D11" s="77" t="s">
        <v>90</v>
      </c>
      <c r="E11" s="79" t="s">
        <v>102</v>
      </c>
      <c r="H11" s="89"/>
      <c r="I11" s="77" t="s">
        <v>103</v>
      </c>
      <c r="J11" s="78">
        <v>3779.66</v>
      </c>
      <c r="K11" s="90"/>
    </row>
    <row r="12" spans="1:11" ht="12.75">
      <c r="A12" s="76"/>
      <c r="B12" s="77" t="s">
        <v>96</v>
      </c>
      <c r="C12" s="78">
        <v>0.5</v>
      </c>
      <c r="D12" s="77" t="s">
        <v>90</v>
      </c>
      <c r="E12" s="79" t="s">
        <v>104</v>
      </c>
      <c r="H12" s="89"/>
      <c r="I12" s="77" t="s">
        <v>105</v>
      </c>
      <c r="J12" s="78">
        <v>1743.35</v>
      </c>
      <c r="K12" s="90"/>
    </row>
    <row r="13" spans="1:11" ht="12.75">
      <c r="A13" s="76"/>
      <c r="B13" s="77" t="s">
        <v>96</v>
      </c>
      <c r="C13" s="78">
        <v>17.5</v>
      </c>
      <c r="D13" s="77" t="s">
        <v>90</v>
      </c>
      <c r="E13" s="79" t="s">
        <v>106</v>
      </c>
      <c r="H13" s="89"/>
      <c r="I13" s="77" t="s">
        <v>107</v>
      </c>
      <c r="J13" s="78">
        <v>4975.31</v>
      </c>
      <c r="K13" s="90"/>
    </row>
    <row r="14" spans="1:11" ht="12.75">
      <c r="A14" s="76"/>
      <c r="B14" s="77" t="s">
        <v>108</v>
      </c>
      <c r="C14" s="78">
        <f>26.14+52.28+52.28</f>
        <v>130.7</v>
      </c>
      <c r="D14" s="77" t="s">
        <v>90</v>
      </c>
      <c r="E14" s="79" t="s">
        <v>109</v>
      </c>
      <c r="H14" s="89"/>
      <c r="I14" s="77" t="s">
        <v>98</v>
      </c>
      <c r="J14" s="87">
        <v>80</v>
      </c>
      <c r="K14" s="90"/>
    </row>
    <row r="15" spans="1:11" ht="12.75">
      <c r="A15" s="76"/>
      <c r="B15" s="77" t="s">
        <v>110</v>
      </c>
      <c r="C15" s="78">
        <v>70</v>
      </c>
      <c r="D15" s="77" t="s">
        <v>90</v>
      </c>
      <c r="E15" s="79" t="s">
        <v>111</v>
      </c>
      <c r="H15" s="89"/>
      <c r="I15" s="77" t="s">
        <v>108</v>
      </c>
      <c r="J15" s="87">
        <v>130.7</v>
      </c>
      <c r="K15" s="90"/>
    </row>
    <row r="16" spans="1:11" ht="12.75">
      <c r="A16" s="76"/>
      <c r="B16" s="77" t="s">
        <v>112</v>
      </c>
      <c r="C16" s="78">
        <v>138.26</v>
      </c>
      <c r="D16" s="77" t="s">
        <v>90</v>
      </c>
      <c r="E16" s="79" t="s">
        <v>113</v>
      </c>
      <c r="H16" s="89"/>
      <c r="I16" s="77" t="s">
        <v>114</v>
      </c>
      <c r="J16" s="87">
        <v>70</v>
      </c>
      <c r="K16" s="90"/>
    </row>
    <row r="17" spans="1:11" ht="12.75">
      <c r="A17" s="76"/>
      <c r="B17" s="77" t="s">
        <v>96</v>
      </c>
      <c r="C17" s="78">
        <v>32.95</v>
      </c>
      <c r="D17" s="77" t="s">
        <v>90</v>
      </c>
      <c r="E17" s="79" t="s">
        <v>93</v>
      </c>
      <c r="H17" s="89"/>
      <c r="I17" s="77" t="s">
        <v>115</v>
      </c>
      <c r="J17" s="87">
        <f>221.04+1537.24</f>
        <v>1758.28</v>
      </c>
      <c r="K17" s="90" t="s">
        <v>116</v>
      </c>
    </row>
    <row r="18" spans="1:11" ht="12.75">
      <c r="A18" s="76"/>
      <c r="B18" s="77" t="s">
        <v>117</v>
      </c>
      <c r="C18" s="78">
        <v>218.73</v>
      </c>
      <c r="D18" s="77" t="s">
        <v>90</v>
      </c>
      <c r="E18" s="79"/>
      <c r="H18" s="89"/>
      <c r="I18" s="77" t="s">
        <v>14</v>
      </c>
      <c r="J18" s="87">
        <v>2427.6</v>
      </c>
      <c r="K18" s="90"/>
    </row>
    <row r="19" spans="1:11" ht="12.75">
      <c r="A19" s="76"/>
      <c r="B19" s="77" t="s">
        <v>118</v>
      </c>
      <c r="C19" s="78">
        <v>47.85</v>
      </c>
      <c r="D19" s="77" t="s">
        <v>90</v>
      </c>
      <c r="E19" s="79"/>
      <c r="H19" s="89"/>
      <c r="I19" s="77"/>
      <c r="J19" s="87"/>
      <c r="K19" s="90"/>
    </row>
    <row r="20" spans="1:13" ht="12.75">
      <c r="A20" s="76"/>
      <c r="B20" s="77" t="s">
        <v>119</v>
      </c>
      <c r="C20" s="78">
        <v>199.1</v>
      </c>
      <c r="D20" s="77" t="s">
        <v>90</v>
      </c>
      <c r="E20" s="79" t="s">
        <v>120</v>
      </c>
      <c r="F20" s="20" t="s">
        <v>121</v>
      </c>
      <c r="H20" s="91"/>
      <c r="I20" s="77"/>
      <c r="J20" s="92"/>
      <c r="K20" s="90"/>
      <c r="L20" s="20"/>
      <c r="M20" s="20"/>
    </row>
    <row r="21" spans="1:13" ht="12.75">
      <c r="A21" s="76"/>
      <c r="B21" s="77"/>
      <c r="C21" s="78"/>
      <c r="D21" s="77" t="s">
        <v>90</v>
      </c>
      <c r="E21" s="79"/>
      <c r="G21" s="93"/>
      <c r="H21" s="89"/>
      <c r="I21" s="77"/>
      <c r="J21" s="87"/>
      <c r="K21" s="90"/>
      <c r="L21" s="20"/>
      <c r="M21" s="20"/>
    </row>
    <row r="22" spans="1:13" ht="12.75">
      <c r="A22" s="76"/>
      <c r="B22" s="77"/>
      <c r="C22" s="78"/>
      <c r="D22" s="77" t="s">
        <v>90</v>
      </c>
      <c r="E22" s="79"/>
      <c r="G22" s="93"/>
      <c r="H22" s="94"/>
      <c r="I22" s="95"/>
      <c r="J22" s="96"/>
      <c r="K22" s="97"/>
      <c r="L22" s="20"/>
      <c r="M22" s="20"/>
    </row>
    <row r="23" spans="1:10" ht="12.75">
      <c r="A23" s="76"/>
      <c r="B23" s="77"/>
      <c r="C23" s="78"/>
      <c r="D23" s="77" t="s">
        <v>90</v>
      </c>
      <c r="E23" s="79"/>
      <c r="G23" s="93"/>
      <c r="J23" s="98">
        <f>SUM(J9:J22)</f>
        <v>15316.11</v>
      </c>
    </row>
    <row r="24" spans="1:5" ht="12.75">
      <c r="A24" s="76"/>
      <c r="B24" s="77"/>
      <c r="C24" s="78"/>
      <c r="D24" s="77" t="s">
        <v>90</v>
      </c>
      <c r="E24" s="79"/>
    </row>
    <row r="25" spans="1:10" ht="12.75">
      <c r="A25" s="76"/>
      <c r="B25" s="77"/>
      <c r="C25" s="78"/>
      <c r="D25" s="77" t="s">
        <v>90</v>
      </c>
      <c r="E25" s="79"/>
      <c r="G25" s="93"/>
      <c r="H25" s="41" t="s">
        <v>122</v>
      </c>
      <c r="J25" s="99">
        <f>J23*0.1</f>
        <v>1531.611</v>
      </c>
    </row>
    <row r="26" spans="1:8" ht="12.75">
      <c r="A26" s="76"/>
      <c r="B26" s="77"/>
      <c r="C26" s="78"/>
      <c r="D26" s="77" t="s">
        <v>90</v>
      </c>
      <c r="E26" s="79"/>
      <c r="G26" s="93"/>
      <c r="H26" s="41"/>
    </row>
    <row r="27" spans="1:8" ht="12.75">
      <c r="A27" s="76"/>
      <c r="B27" s="77"/>
      <c r="C27" s="78"/>
      <c r="D27" s="77" t="s">
        <v>90</v>
      </c>
      <c r="E27" s="79"/>
      <c r="G27" s="93"/>
      <c r="H27" s="41"/>
    </row>
    <row r="28" spans="1:10" ht="12.75">
      <c r="A28" s="76"/>
      <c r="B28" s="77"/>
      <c r="C28" s="78"/>
      <c r="D28" s="77" t="s">
        <v>90</v>
      </c>
      <c r="E28" s="79"/>
      <c r="G28" s="93"/>
      <c r="H28" s="100"/>
      <c r="I28" s="100"/>
      <c r="J28" s="100"/>
    </row>
    <row r="29" spans="1:13" ht="12.75">
      <c r="A29" s="76"/>
      <c r="B29" s="77"/>
      <c r="C29" s="78"/>
      <c r="D29" s="77" t="s">
        <v>90</v>
      </c>
      <c r="E29" s="79"/>
      <c r="H29" s="100"/>
      <c r="I29" s="100"/>
      <c r="J29" s="101"/>
      <c r="L29" s="20"/>
      <c r="M29" s="20"/>
    </row>
    <row r="30" spans="1:10" ht="12.75">
      <c r="A30" s="76"/>
      <c r="B30" s="77"/>
      <c r="C30" s="78"/>
      <c r="D30" s="77" t="s">
        <v>90</v>
      </c>
      <c r="E30" s="79"/>
      <c r="H30" s="100"/>
      <c r="I30" s="100"/>
      <c r="J30" s="100"/>
    </row>
    <row r="31" spans="1:10" ht="12.75">
      <c r="A31" s="76"/>
      <c r="B31" s="77"/>
      <c r="C31" s="78"/>
      <c r="D31" s="77" t="s">
        <v>90</v>
      </c>
      <c r="E31" s="79"/>
      <c r="G31" s="93"/>
      <c r="H31" s="100"/>
      <c r="I31" s="100"/>
      <c r="J31" s="102"/>
    </row>
    <row r="32" spans="1:5" ht="12.75">
      <c r="A32" s="76"/>
      <c r="B32" s="77"/>
      <c r="C32" s="78"/>
      <c r="D32" s="77" t="s">
        <v>90</v>
      </c>
      <c r="E32" s="79"/>
    </row>
    <row r="33" spans="1:5" ht="12.75">
      <c r="A33" s="76"/>
      <c r="B33" s="77"/>
      <c r="C33" s="78" t="s">
        <v>123</v>
      </c>
      <c r="D33" s="77" t="s">
        <v>90</v>
      </c>
      <c r="E33" s="79"/>
    </row>
    <row r="34" spans="1:7" ht="12.75">
      <c r="A34" s="76"/>
      <c r="B34" s="77"/>
      <c r="C34" s="78"/>
      <c r="D34" s="77" t="s">
        <v>90</v>
      </c>
      <c r="E34" s="79"/>
      <c r="G34" s="93"/>
    </row>
    <row r="35" spans="1:7" ht="12.75">
      <c r="A35" s="76"/>
      <c r="B35" s="77"/>
      <c r="C35" s="78"/>
      <c r="D35" s="77"/>
      <c r="E35" s="79"/>
      <c r="G35" s="93"/>
    </row>
    <row r="36" spans="1:7" ht="12.75">
      <c r="A36" s="76"/>
      <c r="B36" s="77"/>
      <c r="C36" s="78"/>
      <c r="D36" s="77"/>
      <c r="E36" s="79"/>
      <c r="G36" s="93"/>
    </row>
    <row r="37" spans="1:7" ht="12.75">
      <c r="A37" s="76"/>
      <c r="B37" s="77"/>
      <c r="C37" s="78"/>
      <c r="D37" s="77"/>
      <c r="E37" s="79"/>
      <c r="F37" s="103" t="s">
        <v>124</v>
      </c>
      <c r="G37" s="104">
        <f>SUM(C6:C36)</f>
        <v>1498.0900000000001</v>
      </c>
    </row>
    <row r="38" spans="1:7" ht="12.75">
      <c r="A38" s="76"/>
      <c r="B38" s="77"/>
      <c r="C38" s="78"/>
      <c r="D38" s="77"/>
      <c r="E38" s="79"/>
      <c r="F38" s="105"/>
      <c r="G38" s="106"/>
    </row>
    <row r="39" spans="1:7" ht="12.75">
      <c r="A39" s="76"/>
      <c r="B39" s="77" t="s">
        <v>125</v>
      </c>
      <c r="C39" s="78">
        <v>-281.52</v>
      </c>
      <c r="D39" s="77" t="s">
        <v>126</v>
      </c>
      <c r="E39" s="79" t="s">
        <v>127</v>
      </c>
      <c r="F39" s="107"/>
      <c r="G39" s="93"/>
    </row>
    <row r="40" spans="1:7" ht="12.75">
      <c r="A40" s="76"/>
      <c r="B40" s="77" t="s">
        <v>128</v>
      </c>
      <c r="C40" s="78">
        <v>369.12</v>
      </c>
      <c r="D40" s="77" t="s">
        <v>126</v>
      </c>
      <c r="E40" s="79"/>
      <c r="G40" s="93"/>
    </row>
    <row r="41" spans="1:7" ht="12.75">
      <c r="A41" s="76"/>
      <c r="B41" s="77" t="s">
        <v>129</v>
      </c>
      <c r="C41" s="78">
        <v>370.05</v>
      </c>
      <c r="D41" s="77" t="s">
        <v>126</v>
      </c>
      <c r="E41" s="79"/>
      <c r="G41" s="93"/>
    </row>
    <row r="42" spans="1:7" ht="12.75">
      <c r="A42" s="76"/>
      <c r="B42" s="77" t="s">
        <v>130</v>
      </c>
      <c r="C42" s="78">
        <v>370.05</v>
      </c>
      <c r="D42" s="77" t="s">
        <v>126</v>
      </c>
      <c r="E42" s="79"/>
      <c r="G42" s="93"/>
    </row>
    <row r="43" spans="1:7" ht="12.75">
      <c r="A43" s="76"/>
      <c r="B43" s="77" t="s">
        <v>131</v>
      </c>
      <c r="C43" s="78">
        <v>370.05</v>
      </c>
      <c r="D43" s="77" t="s">
        <v>126</v>
      </c>
      <c r="E43" s="79"/>
      <c r="G43" s="93"/>
    </row>
    <row r="44" spans="1:7" ht="12.75">
      <c r="A44" s="76"/>
      <c r="B44" s="77" t="s">
        <v>132</v>
      </c>
      <c r="C44" s="78">
        <v>370.05</v>
      </c>
      <c r="D44" s="77" t="s">
        <v>126</v>
      </c>
      <c r="E44" s="79"/>
      <c r="G44" s="93"/>
    </row>
    <row r="45" spans="1:7" ht="12.75">
      <c r="A45" s="76"/>
      <c r="B45" s="77" t="s">
        <v>133</v>
      </c>
      <c r="C45" s="78">
        <v>370.05</v>
      </c>
      <c r="D45" s="77" t="s">
        <v>126</v>
      </c>
      <c r="E45" s="79"/>
      <c r="G45" s="93"/>
    </row>
    <row r="46" spans="1:7" ht="12.75">
      <c r="A46" s="76"/>
      <c r="B46" s="77" t="s">
        <v>134</v>
      </c>
      <c r="C46" s="78">
        <v>370.05</v>
      </c>
      <c r="D46" s="77" t="s">
        <v>126</v>
      </c>
      <c r="E46" s="79"/>
      <c r="G46" s="93"/>
    </row>
    <row r="47" spans="1:7" ht="12.75">
      <c r="A47" s="76"/>
      <c r="B47" s="77" t="s">
        <v>135</v>
      </c>
      <c r="C47" s="78">
        <v>370.05</v>
      </c>
      <c r="D47" s="77" t="s">
        <v>126</v>
      </c>
      <c r="E47" s="79"/>
      <c r="G47" s="93"/>
    </row>
    <row r="48" spans="1:7" ht="12.75">
      <c r="A48" s="76"/>
      <c r="B48" s="77" t="s">
        <v>136</v>
      </c>
      <c r="C48" s="78">
        <v>370.05</v>
      </c>
      <c r="D48" s="77" t="s">
        <v>126</v>
      </c>
      <c r="E48" s="79"/>
      <c r="G48" s="93"/>
    </row>
    <row r="49" spans="1:7" ht="12.75">
      <c r="A49" s="76"/>
      <c r="B49" s="77" t="s">
        <v>137</v>
      </c>
      <c r="C49" s="78">
        <v>370.05</v>
      </c>
      <c r="D49" s="77" t="s">
        <v>126</v>
      </c>
      <c r="E49" s="79"/>
      <c r="F49" s="71"/>
      <c r="G49" s="93"/>
    </row>
    <row r="50" spans="1:7" ht="12.75">
      <c r="A50" s="76"/>
      <c r="B50" s="77" t="s">
        <v>138</v>
      </c>
      <c r="C50" s="78">
        <v>325.25</v>
      </c>
      <c r="D50" s="77" t="s">
        <v>126</v>
      </c>
      <c r="E50" s="79"/>
      <c r="F50" s="71"/>
      <c r="G50" s="93"/>
    </row>
    <row r="51" spans="1:7" ht="12.75">
      <c r="A51" s="76"/>
      <c r="B51" s="77" t="s">
        <v>139</v>
      </c>
      <c r="C51" s="78">
        <v>325.25</v>
      </c>
      <c r="D51" s="77" t="s">
        <v>126</v>
      </c>
      <c r="E51" s="79"/>
      <c r="F51" s="71"/>
      <c r="G51" s="93"/>
    </row>
    <row r="52" spans="1:7" ht="12.75">
      <c r="A52" s="76"/>
      <c r="B52" s="77"/>
      <c r="C52" s="78"/>
      <c r="D52" s="77" t="s">
        <v>126</v>
      </c>
      <c r="E52" s="79"/>
      <c r="F52" s="71"/>
      <c r="G52" s="93"/>
    </row>
    <row r="53" spans="1:7" ht="12.75">
      <c r="A53" s="76"/>
      <c r="B53" s="77"/>
      <c r="C53" s="78"/>
      <c r="D53" s="77"/>
      <c r="E53" s="79"/>
      <c r="F53" s="71"/>
      <c r="G53" s="93"/>
    </row>
    <row r="54" spans="1:7" ht="12.75">
      <c r="A54" s="76"/>
      <c r="B54" s="77"/>
      <c r="C54" s="78"/>
      <c r="D54" s="77"/>
      <c r="E54" s="79"/>
      <c r="F54" s="103" t="s">
        <v>140</v>
      </c>
      <c r="G54" s="104">
        <f>SUM(C39:C53)</f>
        <v>4068.5500000000006</v>
      </c>
    </row>
    <row r="55" spans="1:7" ht="12.75">
      <c r="A55" s="76"/>
      <c r="B55" s="77"/>
      <c r="C55" s="78"/>
      <c r="D55" s="77"/>
      <c r="E55" s="79"/>
      <c r="F55" s="105"/>
      <c r="G55" s="106"/>
    </row>
    <row r="56" spans="1:7" ht="12.75">
      <c r="A56" s="76"/>
      <c r="B56" s="77" t="s">
        <v>141</v>
      </c>
      <c r="C56" s="78">
        <v>8.36</v>
      </c>
      <c r="D56" s="77" t="s">
        <v>142</v>
      </c>
      <c r="E56" s="79" t="s">
        <v>143</v>
      </c>
      <c r="G56" s="93"/>
    </row>
    <row r="57" spans="1:7" ht="12.75">
      <c r="A57" s="76"/>
      <c r="B57" s="77" t="s">
        <v>144</v>
      </c>
      <c r="C57" s="78">
        <v>246.93</v>
      </c>
      <c r="D57" s="77" t="s">
        <v>142</v>
      </c>
      <c r="E57" s="79" t="s">
        <v>145</v>
      </c>
      <c r="G57" s="93"/>
    </row>
    <row r="58" spans="1:7" ht="12.75">
      <c r="A58" s="76"/>
      <c r="B58" s="77" t="s">
        <v>146</v>
      </c>
      <c r="C58" s="78">
        <v>375</v>
      </c>
      <c r="D58" s="77" t="s">
        <v>142</v>
      </c>
      <c r="E58" s="79" t="s">
        <v>147</v>
      </c>
      <c r="G58" s="93"/>
    </row>
    <row r="59" spans="1:7" ht="12.75">
      <c r="A59" s="76"/>
      <c r="B59" s="77" t="s">
        <v>148</v>
      </c>
      <c r="C59" s="78">
        <v>96</v>
      </c>
      <c r="D59" s="77" t="s">
        <v>142</v>
      </c>
      <c r="E59" s="79" t="s">
        <v>149</v>
      </c>
      <c r="G59" s="93"/>
    </row>
    <row r="60" spans="1:7" ht="12.75">
      <c r="A60" s="76"/>
      <c r="B60" s="77" t="s">
        <v>150</v>
      </c>
      <c r="C60" s="78">
        <v>93.43</v>
      </c>
      <c r="D60" s="77" t="s">
        <v>142</v>
      </c>
      <c r="E60" s="79" t="s">
        <v>151</v>
      </c>
      <c r="G60" s="93"/>
    </row>
    <row r="61" spans="1:7" ht="12.75">
      <c r="A61" s="76"/>
      <c r="B61" s="77"/>
      <c r="C61" s="78"/>
      <c r="D61" s="77"/>
      <c r="E61" s="79"/>
      <c r="G61" s="93"/>
    </row>
    <row r="62" spans="1:7" ht="12.75">
      <c r="A62" s="76"/>
      <c r="B62" s="77"/>
      <c r="C62" s="78"/>
      <c r="D62" s="77"/>
      <c r="E62" s="79"/>
      <c r="F62" s="108" t="s">
        <v>152</v>
      </c>
      <c r="G62" s="104">
        <f>SUM(C56:C61)</f>
        <v>819.7200000000001</v>
      </c>
    </row>
    <row r="63" spans="1:7" ht="12.75">
      <c r="A63" s="76"/>
      <c r="B63" s="77"/>
      <c r="C63" s="78"/>
      <c r="D63" s="77"/>
      <c r="E63" s="79"/>
      <c r="F63" s="80"/>
      <c r="G63" s="106"/>
    </row>
    <row r="64" spans="1:7" ht="12.75">
      <c r="A64" s="76"/>
      <c r="B64" s="77" t="s">
        <v>153</v>
      </c>
      <c r="C64" s="78">
        <v>499.33</v>
      </c>
      <c r="D64" s="77" t="s">
        <v>154</v>
      </c>
      <c r="E64" s="79" t="s">
        <v>155</v>
      </c>
      <c r="G64" s="93"/>
    </row>
    <row r="65" spans="1:7" ht="12.75">
      <c r="A65" s="76"/>
      <c r="B65" s="77"/>
      <c r="C65" s="78"/>
      <c r="D65" s="77"/>
      <c r="E65" s="79"/>
      <c r="G65" s="93"/>
    </row>
    <row r="66" spans="1:7" ht="12.75">
      <c r="A66" s="76"/>
      <c r="B66" s="77"/>
      <c r="C66" s="78"/>
      <c r="D66" s="77"/>
      <c r="E66" s="79"/>
      <c r="G66" s="93"/>
    </row>
    <row r="67" spans="1:7" ht="11.25" customHeight="1">
      <c r="A67" s="76"/>
      <c r="B67" s="77"/>
      <c r="C67" s="78"/>
      <c r="D67" s="77"/>
      <c r="E67" s="79"/>
      <c r="F67" s="103" t="s">
        <v>156</v>
      </c>
      <c r="G67" s="104">
        <f>SUM(C64:C65)</f>
        <v>499.33</v>
      </c>
    </row>
    <row r="68" spans="1:7" ht="11.25" customHeight="1">
      <c r="A68" s="76"/>
      <c r="B68" s="77"/>
      <c r="C68" s="78"/>
      <c r="D68" s="77"/>
      <c r="E68" s="79"/>
      <c r="F68" s="109"/>
      <c r="G68" s="110"/>
    </row>
    <row r="69" spans="1:7" ht="12.75">
      <c r="A69" s="76"/>
      <c r="B69" s="77" t="s">
        <v>157</v>
      </c>
      <c r="C69" s="78"/>
      <c r="D69" s="77" t="s">
        <v>158</v>
      </c>
      <c r="E69" s="79"/>
      <c r="F69" s="20" t="s">
        <v>0</v>
      </c>
      <c r="G69" s="93"/>
    </row>
    <row r="70" spans="1:7" ht="12.75">
      <c r="A70" s="76"/>
      <c r="B70" s="77"/>
      <c r="C70" s="78"/>
      <c r="D70" s="77"/>
      <c r="E70" s="79"/>
      <c r="G70" s="93"/>
    </row>
    <row r="71" spans="1:7" ht="12.75">
      <c r="A71" s="76"/>
      <c r="B71" s="77"/>
      <c r="C71" s="78"/>
      <c r="D71" s="77"/>
      <c r="E71" s="79"/>
      <c r="F71" s="108" t="s">
        <v>159</v>
      </c>
      <c r="G71" s="104">
        <f>SUM(C69:C69)</f>
        <v>0</v>
      </c>
    </row>
    <row r="72" spans="1:7" ht="12.75">
      <c r="A72" s="76"/>
      <c r="B72" s="77"/>
      <c r="C72" s="78"/>
      <c r="D72" s="77"/>
      <c r="E72" s="79"/>
      <c r="F72" s="80"/>
      <c r="G72" s="106"/>
    </row>
    <row r="73" spans="1:11" s="29" customFormat="1" ht="12.75">
      <c r="A73" s="76"/>
      <c r="B73" s="77" t="s">
        <v>160</v>
      </c>
      <c r="C73" s="78">
        <f>1160.01+377.23</f>
        <v>1537.24</v>
      </c>
      <c r="D73" s="77" t="s">
        <v>161</v>
      </c>
      <c r="E73" s="79" t="s">
        <v>162</v>
      </c>
      <c r="F73" s="54"/>
      <c r="G73" s="111"/>
      <c r="H73" s="54"/>
      <c r="I73" s="54"/>
      <c r="J73" s="54"/>
      <c r="K73" s="54"/>
    </row>
    <row r="74" spans="1:11" s="29" customFormat="1" ht="12.75">
      <c r="A74" s="76"/>
      <c r="B74" s="77" t="s">
        <v>163</v>
      </c>
      <c r="C74" s="78">
        <v>399.99</v>
      </c>
      <c r="D74" s="77" t="s">
        <v>161</v>
      </c>
      <c r="E74" s="79" t="s">
        <v>164</v>
      </c>
      <c r="F74" s="54"/>
      <c r="G74" s="111"/>
      <c r="H74" s="54"/>
      <c r="I74" s="54"/>
      <c r="J74" s="54"/>
      <c r="K74" s="54"/>
    </row>
    <row r="75" spans="1:11" s="29" customFormat="1" ht="12.75">
      <c r="A75" s="76"/>
      <c r="B75" s="77" t="s">
        <v>165</v>
      </c>
      <c r="C75" s="78">
        <v>236.81</v>
      </c>
      <c r="D75" s="77" t="s">
        <v>161</v>
      </c>
      <c r="E75" s="79" t="s">
        <v>166</v>
      </c>
      <c r="F75" s="54"/>
      <c r="G75" s="112"/>
      <c r="H75" s="54"/>
      <c r="I75" s="54"/>
      <c r="J75" s="54"/>
      <c r="K75" s="54"/>
    </row>
    <row r="76" spans="1:11" s="29" customFormat="1" ht="12.75">
      <c r="A76" s="76"/>
      <c r="B76" s="77" t="s">
        <v>167</v>
      </c>
      <c r="C76" s="78">
        <v>135.6</v>
      </c>
      <c r="D76" s="77" t="s">
        <v>161</v>
      </c>
      <c r="E76" s="79" t="s">
        <v>168</v>
      </c>
      <c r="F76" s="54"/>
      <c r="G76" s="111"/>
      <c r="H76" s="54"/>
      <c r="I76" s="54"/>
      <c r="J76" s="54"/>
      <c r="K76" s="54"/>
    </row>
    <row r="77" spans="1:11" s="29" customFormat="1" ht="12.75">
      <c r="A77" s="76"/>
      <c r="B77" s="77" t="s">
        <v>169</v>
      </c>
      <c r="C77" s="78">
        <v>308.45</v>
      </c>
      <c r="D77" s="77" t="s">
        <v>161</v>
      </c>
      <c r="E77" s="79" t="s">
        <v>170</v>
      </c>
      <c r="F77" s="54"/>
      <c r="G77" s="111"/>
      <c r="H77" s="54"/>
      <c r="I77" s="54"/>
      <c r="J77" s="54"/>
      <c r="K77" s="54"/>
    </row>
    <row r="78" spans="1:11" s="29" customFormat="1" ht="12.75">
      <c r="A78" s="76"/>
      <c r="B78" s="77" t="s">
        <v>165</v>
      </c>
      <c r="C78" s="78">
        <v>65.45</v>
      </c>
      <c r="D78" s="77" t="s">
        <v>161</v>
      </c>
      <c r="E78" s="79" t="s">
        <v>171</v>
      </c>
      <c r="F78" s="54"/>
      <c r="G78" s="111"/>
      <c r="H78" s="54"/>
      <c r="I78" s="54"/>
      <c r="J78" s="54"/>
      <c r="K78" s="54"/>
    </row>
    <row r="79" spans="1:11" s="29" customFormat="1" ht="12.75">
      <c r="A79" s="76"/>
      <c r="B79" s="77" t="s">
        <v>172</v>
      </c>
      <c r="C79" s="78">
        <v>567.63</v>
      </c>
      <c r="D79" s="77" t="s">
        <v>161</v>
      </c>
      <c r="E79" s="79" t="s">
        <v>173</v>
      </c>
      <c r="F79" s="54"/>
      <c r="G79" s="111"/>
      <c r="H79" s="54"/>
      <c r="I79" s="54"/>
      <c r="J79" s="54"/>
      <c r="K79" s="54"/>
    </row>
    <row r="80" spans="1:11" s="29" customFormat="1" ht="12.75">
      <c r="A80" s="76"/>
      <c r="B80" s="77" t="s">
        <v>167</v>
      </c>
      <c r="C80" s="78">
        <v>36.75</v>
      </c>
      <c r="D80" s="77" t="s">
        <v>161</v>
      </c>
      <c r="E80" s="79" t="s">
        <v>174</v>
      </c>
      <c r="F80" s="54"/>
      <c r="G80" s="111"/>
      <c r="H80" s="54"/>
      <c r="I80" s="54"/>
      <c r="J80" s="54"/>
      <c r="K80" s="54"/>
    </row>
    <row r="81" spans="1:11" s="29" customFormat="1" ht="12.75">
      <c r="A81" s="76"/>
      <c r="B81" s="77" t="s">
        <v>175</v>
      </c>
      <c r="C81" s="78">
        <v>1743.35</v>
      </c>
      <c r="D81" s="77" t="s">
        <v>161</v>
      </c>
      <c r="E81" s="79" t="s">
        <v>176</v>
      </c>
      <c r="F81" s="54"/>
      <c r="G81" s="111"/>
      <c r="H81" s="54"/>
      <c r="I81" s="54"/>
      <c r="J81" s="54"/>
      <c r="K81" s="54"/>
    </row>
    <row r="82" spans="1:7" ht="12.75">
      <c r="A82" s="76"/>
      <c r="B82" s="77" t="s">
        <v>177</v>
      </c>
      <c r="C82" s="78">
        <v>221.04</v>
      </c>
      <c r="D82" s="77" t="s">
        <v>161</v>
      </c>
      <c r="E82" s="79" t="s">
        <v>178</v>
      </c>
      <c r="G82" s="93"/>
    </row>
    <row r="83" spans="1:7" ht="12.75">
      <c r="A83" s="76"/>
      <c r="B83" s="77" t="s">
        <v>179</v>
      </c>
      <c r="C83" s="78">
        <v>204.68</v>
      </c>
      <c r="D83" s="77" t="s">
        <v>161</v>
      </c>
      <c r="E83" s="79" t="s">
        <v>180</v>
      </c>
      <c r="G83" s="93"/>
    </row>
    <row r="84" spans="1:7" ht="12.75">
      <c r="A84" s="76"/>
      <c r="B84" s="77" t="s">
        <v>181</v>
      </c>
      <c r="C84" s="78">
        <v>590.42</v>
      </c>
      <c r="D84" s="77" t="s">
        <v>161</v>
      </c>
      <c r="E84" s="79" t="s">
        <v>182</v>
      </c>
      <c r="G84" s="93"/>
    </row>
    <row r="85" spans="1:7" ht="12.75">
      <c r="A85" s="76"/>
      <c r="B85" s="77" t="s">
        <v>183</v>
      </c>
      <c r="C85" s="78">
        <v>116</v>
      </c>
      <c r="D85" s="77" t="s">
        <v>161</v>
      </c>
      <c r="E85" s="79" t="s">
        <v>184</v>
      </c>
      <c r="G85" s="93"/>
    </row>
    <row r="86" spans="1:7" ht="12.75">
      <c r="A86" s="76"/>
      <c r="B86" s="77" t="s">
        <v>185</v>
      </c>
      <c r="C86" s="78">
        <v>405</v>
      </c>
      <c r="D86" s="77" t="s">
        <v>161</v>
      </c>
      <c r="E86" s="79" t="s">
        <v>186</v>
      </c>
      <c r="G86" s="93"/>
    </row>
    <row r="87" spans="1:7" ht="12.75">
      <c r="A87" s="76"/>
      <c r="B87" s="77"/>
      <c r="C87" s="78"/>
      <c r="D87" s="77"/>
      <c r="E87" s="79"/>
      <c r="G87" s="93"/>
    </row>
    <row r="88" spans="1:7" ht="12.75">
      <c r="A88" s="76"/>
      <c r="B88" s="77"/>
      <c r="C88" s="78"/>
      <c r="D88" s="77"/>
      <c r="E88" s="79"/>
      <c r="G88" s="93"/>
    </row>
    <row r="89" spans="1:7" ht="12.75">
      <c r="A89" s="76"/>
      <c r="B89" s="77"/>
      <c r="C89" s="78"/>
      <c r="D89" s="77"/>
      <c r="E89" s="79"/>
      <c r="F89" s="108" t="s">
        <v>187</v>
      </c>
      <c r="G89" s="104">
        <f>SUM(C73:C87)</f>
        <v>6568.409999999999</v>
      </c>
    </row>
    <row r="90" spans="1:7" ht="12.75">
      <c r="A90" s="76"/>
      <c r="B90" s="77"/>
      <c r="C90" s="78"/>
      <c r="D90" s="77"/>
      <c r="E90" s="79"/>
      <c r="F90" s="80"/>
      <c r="G90" s="106"/>
    </row>
    <row r="91" spans="1:7" ht="12.75">
      <c r="A91" s="76"/>
      <c r="B91" s="77" t="s">
        <v>188</v>
      </c>
      <c r="C91" s="78">
        <v>453.51</v>
      </c>
      <c r="D91" s="77" t="s">
        <v>189</v>
      </c>
      <c r="E91" s="79" t="s">
        <v>190</v>
      </c>
      <c r="G91" s="93"/>
    </row>
    <row r="92" spans="1:7" ht="12.75">
      <c r="A92" s="76"/>
      <c r="B92" s="77" t="s">
        <v>188</v>
      </c>
      <c r="C92" s="78">
        <v>566.88</v>
      </c>
      <c r="D92" s="77" t="s">
        <v>189</v>
      </c>
      <c r="E92" s="79" t="s">
        <v>191</v>
      </c>
      <c r="G92" s="93"/>
    </row>
    <row r="93" spans="1:7" ht="12.75">
      <c r="A93" s="76"/>
      <c r="B93" s="77" t="s">
        <v>188</v>
      </c>
      <c r="C93" s="78">
        <v>453.51</v>
      </c>
      <c r="D93" s="77" t="s">
        <v>189</v>
      </c>
      <c r="E93" s="79" t="s">
        <v>192</v>
      </c>
      <c r="G93" s="93"/>
    </row>
    <row r="94" spans="1:7" ht="12.75">
      <c r="A94" s="76"/>
      <c r="B94" s="77" t="s">
        <v>188</v>
      </c>
      <c r="C94" s="78">
        <v>453.51</v>
      </c>
      <c r="D94" s="77" t="s">
        <v>189</v>
      </c>
      <c r="E94" s="79" t="s">
        <v>193</v>
      </c>
      <c r="F94" s="80"/>
      <c r="G94" s="113"/>
    </row>
    <row r="95" spans="1:7" ht="12.75">
      <c r="A95" s="76"/>
      <c r="B95" s="77" t="s">
        <v>188</v>
      </c>
      <c r="C95" s="78">
        <v>453.51</v>
      </c>
      <c r="D95" s="77" t="s">
        <v>189</v>
      </c>
      <c r="E95" s="79" t="s">
        <v>194</v>
      </c>
      <c r="G95" s="93"/>
    </row>
    <row r="96" spans="1:7" ht="12.75">
      <c r="A96" s="76"/>
      <c r="B96" s="77" t="s">
        <v>188</v>
      </c>
      <c r="C96" s="78">
        <v>453.51</v>
      </c>
      <c r="D96" s="77" t="s">
        <v>189</v>
      </c>
      <c r="E96" s="79" t="s">
        <v>195</v>
      </c>
      <c r="G96" s="93"/>
    </row>
    <row r="97" spans="1:7" ht="12.75">
      <c r="A97" s="76"/>
      <c r="B97" s="77" t="s">
        <v>188</v>
      </c>
      <c r="C97" s="78">
        <v>453.51</v>
      </c>
      <c r="D97" s="77" t="s">
        <v>189</v>
      </c>
      <c r="E97" s="79" t="s">
        <v>196</v>
      </c>
      <c r="G97" s="93"/>
    </row>
    <row r="98" spans="1:7" ht="12.75">
      <c r="A98" s="76"/>
      <c r="B98" s="77" t="s">
        <v>188</v>
      </c>
      <c r="C98" s="78">
        <v>453.51</v>
      </c>
      <c r="D98" s="77" t="s">
        <v>189</v>
      </c>
      <c r="E98" s="79" t="s">
        <v>197</v>
      </c>
      <c r="G98" s="93"/>
    </row>
    <row r="99" spans="1:7" ht="12.75">
      <c r="A99" s="76"/>
      <c r="B99" s="77" t="s">
        <v>188</v>
      </c>
      <c r="C99" s="78">
        <v>453.51</v>
      </c>
      <c r="D99" s="77" t="s">
        <v>189</v>
      </c>
      <c r="E99" s="79" t="s">
        <v>198</v>
      </c>
      <c r="G99" s="93"/>
    </row>
    <row r="100" spans="1:7" ht="12.75">
      <c r="A100" s="76"/>
      <c r="B100" s="77" t="s">
        <v>188</v>
      </c>
      <c r="C100" s="78">
        <v>453.51</v>
      </c>
      <c r="D100" s="77" t="s">
        <v>189</v>
      </c>
      <c r="E100" s="79" t="s">
        <v>199</v>
      </c>
      <c r="G100" s="93"/>
    </row>
    <row r="101" spans="1:7" ht="12.75">
      <c r="A101" s="76"/>
      <c r="B101" s="77" t="s">
        <v>188</v>
      </c>
      <c r="C101" s="78">
        <v>453.51</v>
      </c>
      <c r="D101" s="77" t="s">
        <v>189</v>
      </c>
      <c r="E101" s="79" t="s">
        <v>200</v>
      </c>
      <c r="F101" s="71"/>
      <c r="G101" s="93"/>
    </row>
    <row r="102" spans="1:7" ht="12.75">
      <c r="A102" s="76"/>
      <c r="B102" s="77" t="s">
        <v>188</v>
      </c>
      <c r="C102" s="78">
        <v>453.51</v>
      </c>
      <c r="D102" s="77" t="s">
        <v>189</v>
      </c>
      <c r="E102" s="79" t="s">
        <v>201</v>
      </c>
      <c r="G102" s="93"/>
    </row>
    <row r="103" spans="1:7" ht="12.75">
      <c r="A103" s="76"/>
      <c r="B103" s="77" t="s">
        <v>202</v>
      </c>
      <c r="C103" s="78">
        <v>453.51</v>
      </c>
      <c r="D103" s="77" t="s">
        <v>189</v>
      </c>
      <c r="E103" s="79" t="s">
        <v>203</v>
      </c>
      <c r="G103" s="93"/>
    </row>
    <row r="104" spans="1:7" ht="12.75">
      <c r="A104" s="76"/>
      <c r="B104" s="77"/>
      <c r="C104" s="78"/>
      <c r="D104" s="77"/>
      <c r="E104" s="79"/>
      <c r="F104" s="108" t="s">
        <v>204</v>
      </c>
      <c r="G104" s="104">
        <f>SUM(C91:C103)</f>
        <v>6009.000000000002</v>
      </c>
    </row>
    <row r="105" spans="1:7" ht="12.75">
      <c r="A105" s="76"/>
      <c r="B105" s="77"/>
      <c r="C105" s="78"/>
      <c r="D105" s="77"/>
      <c r="E105" s="79"/>
      <c r="F105" s="80"/>
      <c r="G105" s="106"/>
    </row>
    <row r="106" spans="1:7" ht="12.75">
      <c r="A106" s="76"/>
      <c r="B106" s="77" t="s">
        <v>205</v>
      </c>
      <c r="C106" s="78">
        <v>0</v>
      </c>
      <c r="D106" s="77" t="s">
        <v>206</v>
      </c>
      <c r="E106" s="79" t="s">
        <v>120</v>
      </c>
      <c r="F106" s="78" t="s">
        <v>207</v>
      </c>
      <c r="G106" s="93"/>
    </row>
    <row r="107" spans="1:7" ht="12.75">
      <c r="A107" s="76"/>
      <c r="B107" s="77" t="s">
        <v>208</v>
      </c>
      <c r="C107" s="78">
        <v>184.02</v>
      </c>
      <c r="D107" s="77" t="s">
        <v>206</v>
      </c>
      <c r="E107" s="79" t="s">
        <v>209</v>
      </c>
      <c r="G107" s="93"/>
    </row>
    <row r="108" spans="1:7" ht="12.75">
      <c r="A108" s="76"/>
      <c r="B108" s="77" t="s">
        <v>210</v>
      </c>
      <c r="C108" s="78">
        <v>24.16</v>
      </c>
      <c r="D108" s="77" t="s">
        <v>206</v>
      </c>
      <c r="E108" s="79" t="s">
        <v>211</v>
      </c>
      <c r="G108" s="93"/>
    </row>
    <row r="109" spans="1:7" ht="12.75">
      <c r="A109" s="76"/>
      <c r="B109" s="77" t="s">
        <v>212</v>
      </c>
      <c r="C109" s="78">
        <v>203.85</v>
      </c>
      <c r="D109" s="77" t="s">
        <v>206</v>
      </c>
      <c r="E109" s="79" t="s">
        <v>213</v>
      </c>
      <c r="G109" s="93"/>
    </row>
    <row r="110" spans="1:7" ht="12.75">
      <c r="A110" s="76"/>
      <c r="B110" t="s">
        <v>210</v>
      </c>
      <c r="C110">
        <v>110.51</v>
      </c>
      <c r="D110" s="77" t="s">
        <v>206</v>
      </c>
      <c r="E110" s="79" t="s">
        <v>214</v>
      </c>
      <c r="G110" s="93"/>
    </row>
    <row r="111" spans="1:7" ht="12.75">
      <c r="A111" s="76"/>
      <c r="B111" s="77" t="s">
        <v>215</v>
      </c>
      <c r="C111" s="78">
        <v>53.03</v>
      </c>
      <c r="D111" s="77" t="s">
        <v>206</v>
      </c>
      <c r="E111" s="79" t="s">
        <v>216</v>
      </c>
      <c r="G111" s="93"/>
    </row>
    <row r="112" spans="1:7" ht="12.75">
      <c r="A112" s="76"/>
      <c r="B112" s="77" t="s">
        <v>210</v>
      </c>
      <c r="C112" s="78">
        <v>109.9</v>
      </c>
      <c r="D112" s="77" t="s">
        <v>206</v>
      </c>
      <c r="E112" s="79" t="s">
        <v>217</v>
      </c>
      <c r="G112" s="93"/>
    </row>
    <row r="113" spans="1:7" ht="12.75">
      <c r="A113" s="76"/>
      <c r="B113" s="77"/>
      <c r="C113" s="78"/>
      <c r="D113" s="77" t="s">
        <v>206</v>
      </c>
      <c r="E113" s="79" t="s">
        <v>218</v>
      </c>
      <c r="G113" s="93"/>
    </row>
    <row r="114" spans="1:7" ht="12.75">
      <c r="A114" s="76"/>
      <c r="B114" s="77"/>
      <c r="C114" s="78"/>
      <c r="D114" s="77" t="s">
        <v>206</v>
      </c>
      <c r="E114" s="79" t="s">
        <v>219</v>
      </c>
      <c r="G114" s="93"/>
    </row>
    <row r="115" spans="1:7" ht="12.75">
      <c r="A115" s="76"/>
      <c r="B115" s="77"/>
      <c r="C115" s="78"/>
      <c r="D115" s="77" t="s">
        <v>206</v>
      </c>
      <c r="E115" s="79" t="s">
        <v>220</v>
      </c>
      <c r="G115" s="93"/>
    </row>
    <row r="116" spans="1:7" ht="12.75">
      <c r="A116" s="76"/>
      <c r="B116" s="77"/>
      <c r="C116" s="78"/>
      <c r="D116" s="77" t="s">
        <v>206</v>
      </c>
      <c r="E116" s="79" t="s">
        <v>221</v>
      </c>
      <c r="G116" s="93"/>
    </row>
    <row r="117" spans="1:7" ht="12.75">
      <c r="A117" s="76"/>
      <c r="B117" s="77"/>
      <c r="C117" s="78"/>
      <c r="D117" s="77" t="s">
        <v>206</v>
      </c>
      <c r="E117" s="79" t="s">
        <v>222</v>
      </c>
      <c r="G117" s="93"/>
    </row>
    <row r="118" spans="1:7" ht="12.75">
      <c r="A118" s="76"/>
      <c r="B118" s="77"/>
      <c r="C118" s="78"/>
      <c r="D118" s="77"/>
      <c r="E118" s="79"/>
      <c r="F118" s="108" t="s">
        <v>223</v>
      </c>
      <c r="G118" s="104">
        <f>SUM(C106:C118)</f>
        <v>685.4699999999999</v>
      </c>
    </row>
    <row r="119" spans="1:7" ht="12.75">
      <c r="A119" s="76"/>
      <c r="B119" s="77"/>
      <c r="C119" s="78"/>
      <c r="D119" s="77"/>
      <c r="E119" s="79"/>
      <c r="F119" s="80"/>
      <c r="G119" s="106"/>
    </row>
    <row r="120" spans="1:7" ht="12.75">
      <c r="A120" s="76"/>
      <c r="B120" s="77" t="s">
        <v>224</v>
      </c>
      <c r="C120" s="78">
        <v>809.2</v>
      </c>
      <c r="D120" s="77" t="s">
        <v>225</v>
      </c>
      <c r="E120" s="79" t="s">
        <v>226</v>
      </c>
      <c r="G120" s="93"/>
    </row>
    <row r="121" spans="1:7" ht="12.75">
      <c r="A121" s="76"/>
      <c r="B121" s="77" t="s">
        <v>224</v>
      </c>
      <c r="C121" s="78">
        <v>1618.4</v>
      </c>
      <c r="D121" s="77" t="s">
        <v>225</v>
      </c>
      <c r="E121" s="79" t="s">
        <v>227</v>
      </c>
      <c r="G121" s="93"/>
    </row>
    <row r="122" spans="1:7" ht="12.75">
      <c r="A122" s="76"/>
      <c r="B122" s="77"/>
      <c r="C122" s="78"/>
      <c r="D122" s="77"/>
      <c r="E122" s="79"/>
      <c r="G122" s="93"/>
    </row>
    <row r="123" spans="1:7" ht="12.75">
      <c r="A123" s="76"/>
      <c r="B123" s="77"/>
      <c r="C123" s="78"/>
      <c r="D123" s="77"/>
      <c r="E123" s="79"/>
      <c r="G123" s="93"/>
    </row>
    <row r="124" spans="1:7" ht="12.75">
      <c r="A124" s="114"/>
      <c r="B124" s="115"/>
      <c r="C124" s="78"/>
      <c r="D124" s="77"/>
      <c r="E124" s="79"/>
      <c r="F124" s="108" t="s">
        <v>228</v>
      </c>
      <c r="G124" s="104">
        <f>SUM(C120:C122)</f>
        <v>2427.6000000000004</v>
      </c>
    </row>
    <row r="125" spans="1:7" ht="12.75">
      <c r="A125" s="76"/>
      <c r="B125" s="77"/>
      <c r="C125" s="78"/>
      <c r="D125" s="77"/>
      <c r="E125" s="79"/>
      <c r="F125" s="80"/>
      <c r="G125" s="106"/>
    </row>
    <row r="126" spans="1:11" s="29" customFormat="1" ht="12.75">
      <c r="A126" s="76"/>
      <c r="B126" s="77" t="s">
        <v>229</v>
      </c>
      <c r="C126" s="78">
        <v>3779.66</v>
      </c>
      <c r="D126" s="77" t="s">
        <v>101</v>
      </c>
      <c r="E126" s="79" t="s">
        <v>230</v>
      </c>
      <c r="F126" s="54"/>
      <c r="G126" s="111"/>
      <c r="H126" s="54"/>
      <c r="I126" s="54"/>
      <c r="J126" s="54"/>
      <c r="K126" s="54"/>
    </row>
    <row r="127" spans="1:11" s="29" customFormat="1" ht="12.75">
      <c r="A127" s="76"/>
      <c r="B127" s="77" t="s">
        <v>231</v>
      </c>
      <c r="C127" s="78">
        <v>351.21</v>
      </c>
      <c r="D127" s="77" t="s">
        <v>101</v>
      </c>
      <c r="E127" s="79"/>
      <c r="F127" s="116"/>
      <c r="G127" s="111"/>
      <c r="H127" s="54"/>
      <c r="I127" s="54"/>
      <c r="J127" s="54"/>
      <c r="K127" s="54"/>
    </row>
    <row r="128" spans="1:7" ht="12.75">
      <c r="A128" s="76"/>
      <c r="B128" s="77"/>
      <c r="C128" s="78"/>
      <c r="D128" s="77"/>
      <c r="E128" s="79"/>
      <c r="F128" s="116"/>
      <c r="G128" s="93"/>
    </row>
    <row r="129" spans="1:7" ht="12.75">
      <c r="A129" s="76"/>
      <c r="B129" s="77"/>
      <c r="C129" s="78"/>
      <c r="D129" s="77"/>
      <c r="E129" s="79"/>
      <c r="F129" s="108" t="s">
        <v>232</v>
      </c>
      <c r="G129" s="104">
        <f>SUM(C126:C127)</f>
        <v>4130.87</v>
      </c>
    </row>
    <row r="130" spans="1:7" ht="12.75">
      <c r="A130" s="76"/>
      <c r="B130" s="77"/>
      <c r="C130" s="78"/>
      <c r="D130" s="77"/>
      <c r="E130" s="79"/>
      <c r="F130" s="80"/>
      <c r="G130" s="106"/>
    </row>
    <row r="131" spans="1:7" ht="12.75">
      <c r="A131" s="76"/>
      <c r="B131" s="77" t="s">
        <v>233</v>
      </c>
      <c r="C131" s="78">
        <v>53.04</v>
      </c>
      <c r="D131" s="77" t="s">
        <v>234</v>
      </c>
      <c r="E131" s="79" t="s">
        <v>235</v>
      </c>
      <c r="G131" s="93"/>
    </row>
    <row r="132" spans="1:7" ht="12.75">
      <c r="A132" s="76"/>
      <c r="B132" s="77"/>
      <c r="C132" s="78"/>
      <c r="D132" s="77"/>
      <c r="E132" s="79"/>
      <c r="F132" s="71"/>
      <c r="G132" s="93"/>
    </row>
    <row r="133" spans="1:7" ht="12.75">
      <c r="A133" s="76"/>
      <c r="B133" s="77"/>
      <c r="C133" s="78"/>
      <c r="D133" s="77"/>
      <c r="E133" s="79"/>
      <c r="F133" s="108" t="s">
        <v>236</v>
      </c>
      <c r="G133" s="104">
        <f>SUM(C131:C132)</f>
        <v>53.04</v>
      </c>
    </row>
    <row r="134" spans="1:7" ht="12.75">
      <c r="A134" s="76"/>
      <c r="B134" s="77" t="s">
        <v>237</v>
      </c>
      <c r="C134" s="66">
        <v>273.7</v>
      </c>
      <c r="D134" s="77" t="s">
        <v>238</v>
      </c>
      <c r="E134" s="79" t="s">
        <v>239</v>
      </c>
      <c r="F134" s="80"/>
      <c r="G134" s="106"/>
    </row>
    <row r="135" spans="1:5" ht="12.75">
      <c r="A135" s="76"/>
      <c r="B135" s="117"/>
      <c r="C135" s="78"/>
      <c r="D135" s="117"/>
      <c r="E135" s="118"/>
    </row>
    <row r="136" spans="1:7" ht="12.75">
      <c r="A136" s="76"/>
      <c r="B136" s="117"/>
      <c r="C136" s="78"/>
      <c r="D136" s="117"/>
      <c r="E136" s="119"/>
      <c r="F136" s="120" t="s">
        <v>240</v>
      </c>
      <c r="G136" s="104">
        <f>SUM(C134:C135)</f>
        <v>273.7</v>
      </c>
    </row>
    <row r="137" spans="1:7" ht="12.75">
      <c r="A137" s="76"/>
      <c r="B137" s="77" t="s">
        <v>241</v>
      </c>
      <c r="C137" s="78">
        <v>1180.48</v>
      </c>
      <c r="D137" s="117" t="s">
        <v>242</v>
      </c>
      <c r="E137" s="79" t="s">
        <v>243</v>
      </c>
      <c r="F137" s="121"/>
      <c r="G137" s="106"/>
    </row>
    <row r="138" spans="1:5" ht="12.75">
      <c r="A138" s="76"/>
      <c r="B138" s="117"/>
      <c r="C138" s="78"/>
      <c r="D138" s="77"/>
      <c r="E138" s="118"/>
    </row>
    <row r="139" spans="1:7" ht="12.75">
      <c r="A139" s="76"/>
      <c r="B139" s="77"/>
      <c r="C139" s="78"/>
      <c r="D139" s="77"/>
      <c r="E139" s="79"/>
      <c r="F139" s="108" t="s">
        <v>244</v>
      </c>
      <c r="G139" s="104">
        <f>C137</f>
        <v>1180.48</v>
      </c>
    </row>
    <row r="140" spans="1:7" ht="12.75">
      <c r="A140" s="76"/>
      <c r="B140" s="77"/>
      <c r="C140" s="78"/>
      <c r="D140" s="77"/>
      <c r="E140" s="79"/>
      <c r="F140" s="122"/>
      <c r="G140" s="123"/>
    </row>
    <row r="141" spans="1:7" ht="12.75">
      <c r="A141" s="76"/>
      <c r="B141" s="77" t="s">
        <v>30</v>
      </c>
      <c r="C141" s="78"/>
      <c r="D141" s="77"/>
      <c r="E141" s="79"/>
      <c r="F141" s="122"/>
      <c r="G141" s="123"/>
    </row>
    <row r="142" spans="1:7" ht="12.75">
      <c r="A142" s="76"/>
      <c r="B142" s="77" t="s">
        <v>245</v>
      </c>
      <c r="C142" s="78">
        <v>827.05</v>
      </c>
      <c r="D142" s="77" t="s">
        <v>246</v>
      </c>
      <c r="E142" s="79" t="s">
        <v>247</v>
      </c>
      <c r="F142" s="122"/>
      <c r="G142" s="123"/>
    </row>
    <row r="143" spans="1:7" ht="12.75">
      <c r="A143" s="76"/>
      <c r="B143" s="77" t="s">
        <v>245</v>
      </c>
      <c r="C143" s="78">
        <v>892.5</v>
      </c>
      <c r="D143" s="77" t="s">
        <v>248</v>
      </c>
      <c r="E143" s="79" t="s">
        <v>249</v>
      </c>
      <c r="F143" s="122"/>
      <c r="G143" s="123"/>
    </row>
    <row r="144" spans="1:7" ht="12.75">
      <c r="A144" s="76"/>
      <c r="B144" s="77" t="s">
        <v>250</v>
      </c>
      <c r="C144" s="78">
        <v>892.5</v>
      </c>
      <c r="D144" s="77" t="s">
        <v>251</v>
      </c>
      <c r="E144" s="79" t="s">
        <v>252</v>
      </c>
      <c r="F144" s="122"/>
      <c r="G144" s="123"/>
    </row>
    <row r="145" spans="1:7" ht="12.75">
      <c r="A145" s="76"/>
      <c r="B145" s="77" t="s">
        <v>250</v>
      </c>
      <c r="C145" s="78">
        <v>666.4</v>
      </c>
      <c r="D145" s="77" t="s">
        <v>253</v>
      </c>
      <c r="E145" s="79" t="s">
        <v>254</v>
      </c>
      <c r="F145" s="122"/>
      <c r="G145" s="123"/>
    </row>
    <row r="146" spans="1:7" ht="12.75">
      <c r="A146" s="76"/>
      <c r="B146" s="124"/>
      <c r="C146" s="78"/>
      <c r="D146" s="77"/>
      <c r="E146" s="79"/>
      <c r="F146" s="108" t="s">
        <v>255</v>
      </c>
      <c r="G146" s="104">
        <f>SUM(C142:C145)</f>
        <v>3278.45</v>
      </c>
    </row>
    <row r="151" spans="1:2" ht="12.75">
      <c r="A151" s="125"/>
      <c r="B151" s="100"/>
    </row>
    <row r="152" spans="1:5" ht="12.75">
      <c r="A152" s="125"/>
      <c r="B152" s="100"/>
      <c r="D152" s="100"/>
      <c r="E152" s="126"/>
    </row>
    <row r="153" spans="1:5" ht="12.75">
      <c r="A153" s="125"/>
      <c r="B153" s="100"/>
      <c r="D153" s="100"/>
      <c r="E153" s="126"/>
    </row>
    <row r="154" spans="1:5" ht="12.75">
      <c r="A154" s="125"/>
      <c r="B154" s="100"/>
      <c r="D154" s="100"/>
      <c r="E154" s="126"/>
    </row>
  </sheetData>
  <sheetProtection selectLockedCells="1" selectUnlockedCells="1"/>
  <printOptions/>
  <pageMargins left="0.6416666666666667" right="0.6222222222222222" top="0.36944444444444446" bottom="0.35208333333333336" header="0.5118055555555555" footer="0.5118055555555555"/>
  <pageSetup fitToHeight="6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82" zoomScaleNormal="110" zoomScaleSheetLayoutView="82" workbookViewId="0" topLeftCell="A1">
      <selection activeCell="G8" sqref="G8"/>
    </sheetView>
  </sheetViews>
  <sheetFormatPr defaultColWidth="9.140625" defaultRowHeight="12.75"/>
  <cols>
    <col min="1" max="1" width="4.00390625" style="0" customWidth="1"/>
    <col min="2" max="2" width="9.00390625" style="127" customWidth="1"/>
    <col min="3" max="3" width="13.57421875" style="0" customWidth="1"/>
    <col min="4" max="4" width="12.140625" style="0" customWidth="1"/>
    <col min="5" max="5" width="11.140625" style="0" customWidth="1"/>
    <col min="6" max="6" width="3.421875" style="28" customWidth="1"/>
    <col min="7" max="7" width="28.8515625" style="0" customWidth="1"/>
  </cols>
  <sheetData>
    <row r="1" spans="2:6" ht="15">
      <c r="B1" s="128" t="s">
        <v>256</v>
      </c>
      <c r="C1" s="129"/>
      <c r="D1" s="130"/>
      <c r="E1" s="129"/>
      <c r="F1" s="131"/>
    </row>
    <row r="2" spans="2:4" ht="12.75">
      <c r="B2" s="132"/>
      <c r="D2" s="133"/>
    </row>
    <row r="3" spans="1:11" ht="20.25">
      <c r="A3" s="134"/>
      <c r="B3" s="135" t="s">
        <v>257</v>
      </c>
      <c r="C3" s="134" t="s">
        <v>258</v>
      </c>
      <c r="D3" s="136"/>
      <c r="E3" s="137"/>
      <c r="F3" s="134"/>
      <c r="G3" s="134"/>
      <c r="H3" s="134"/>
      <c r="I3" s="134"/>
      <c r="J3" s="134"/>
      <c r="K3" s="134"/>
    </row>
    <row r="4" spans="1:11" ht="12.75">
      <c r="A4" s="28"/>
      <c r="B4" s="138"/>
      <c r="C4" s="28"/>
      <c r="D4" s="133"/>
      <c r="E4" s="139"/>
      <c r="G4" s="28"/>
      <c r="H4" s="28"/>
      <c r="I4" s="28"/>
      <c r="J4" s="28"/>
      <c r="K4" s="28"/>
    </row>
    <row r="5" spans="1:11" ht="12.75">
      <c r="A5" s="28"/>
      <c r="B5" s="138"/>
      <c r="C5" s="28"/>
      <c r="D5" s="140" t="s">
        <v>259</v>
      </c>
      <c r="E5" s="141" t="s">
        <v>260</v>
      </c>
      <c r="G5" s="28"/>
      <c r="H5" s="28"/>
      <c r="I5" s="28"/>
      <c r="J5" s="28"/>
      <c r="K5" s="28"/>
    </row>
    <row r="6" spans="1:7" ht="12.75">
      <c r="A6" s="142" t="s">
        <v>261</v>
      </c>
      <c r="B6" s="132" t="s">
        <v>262</v>
      </c>
      <c r="C6" t="s">
        <v>160</v>
      </c>
      <c r="D6" s="143">
        <v>40262</v>
      </c>
      <c r="E6" s="144">
        <v>1660.05</v>
      </c>
      <c r="G6" t="s">
        <v>263</v>
      </c>
    </row>
    <row r="7" spans="1:7" ht="12.75">
      <c r="A7" s="142" t="s">
        <v>261</v>
      </c>
      <c r="B7" s="132" t="s">
        <v>264</v>
      </c>
      <c r="C7" t="s">
        <v>265</v>
      </c>
      <c r="D7" s="145">
        <v>40240</v>
      </c>
      <c r="E7" s="146">
        <v>1617.72</v>
      </c>
      <c r="G7" t="s">
        <v>266</v>
      </c>
    </row>
    <row r="8" spans="1:5" ht="12.75">
      <c r="A8" s="142" t="s">
        <v>261</v>
      </c>
      <c r="B8" s="132" t="s">
        <v>267</v>
      </c>
      <c r="C8" t="s">
        <v>268</v>
      </c>
      <c r="D8" s="145">
        <v>40319</v>
      </c>
      <c r="E8" s="146">
        <v>11945.27</v>
      </c>
    </row>
    <row r="9" spans="1:5" ht="12.75">
      <c r="A9" s="142" t="s">
        <v>261</v>
      </c>
      <c r="B9" s="132" t="s">
        <v>269</v>
      </c>
      <c r="C9" t="s">
        <v>268</v>
      </c>
      <c r="D9" s="145">
        <v>40326</v>
      </c>
      <c r="E9" s="146">
        <v>6860.46</v>
      </c>
    </row>
    <row r="10" spans="1:5" ht="12.75">
      <c r="A10" s="142" t="s">
        <v>261</v>
      </c>
      <c r="B10" s="132" t="s">
        <v>270</v>
      </c>
      <c r="C10" t="s">
        <v>271</v>
      </c>
      <c r="D10" s="145">
        <v>40519</v>
      </c>
      <c r="E10" s="146">
        <v>4975.31</v>
      </c>
    </row>
    <row r="11" spans="1:5" ht="12.75">
      <c r="A11" s="142" t="s">
        <v>261</v>
      </c>
      <c r="B11" s="132" t="s">
        <v>272</v>
      </c>
      <c r="C11" t="s">
        <v>160</v>
      </c>
      <c r="D11" s="145">
        <v>40437</v>
      </c>
      <c r="E11" s="146">
        <v>835.73</v>
      </c>
    </row>
    <row r="12" spans="1:5" ht="12.75">
      <c r="A12" s="142" t="s">
        <v>261</v>
      </c>
      <c r="B12" s="132" t="s">
        <v>273</v>
      </c>
      <c r="C12" t="s">
        <v>160</v>
      </c>
      <c r="D12" s="145">
        <v>40404</v>
      </c>
      <c r="E12" s="146">
        <v>312.97</v>
      </c>
    </row>
    <row r="13" spans="1:5" ht="12.75">
      <c r="A13" s="142" t="s">
        <v>261</v>
      </c>
      <c r="B13" s="132" t="s">
        <v>274</v>
      </c>
      <c r="C13" t="s">
        <v>268</v>
      </c>
      <c r="D13" s="145">
        <v>40404</v>
      </c>
      <c r="E13" s="146">
        <v>386.45</v>
      </c>
    </row>
    <row r="14" spans="1:5" ht="12.75">
      <c r="A14" s="142" t="s">
        <v>261</v>
      </c>
      <c r="B14" s="132" t="s">
        <v>275</v>
      </c>
      <c r="C14" t="s">
        <v>160</v>
      </c>
      <c r="D14" s="145">
        <v>40360</v>
      </c>
      <c r="E14" s="146">
        <v>2076.17</v>
      </c>
    </row>
    <row r="15" spans="1:5" ht="12.75">
      <c r="A15" s="142" t="s">
        <v>261</v>
      </c>
      <c r="B15" s="132" t="s">
        <v>276</v>
      </c>
      <c r="C15" t="s">
        <v>268</v>
      </c>
      <c r="D15" s="145">
        <v>40343</v>
      </c>
      <c r="E15" s="146">
        <v>4885.35</v>
      </c>
    </row>
    <row r="16" spans="1:5" ht="12.75">
      <c r="A16" s="142" t="s">
        <v>261</v>
      </c>
      <c r="B16" s="132" t="s">
        <v>277</v>
      </c>
      <c r="C16" t="s">
        <v>268</v>
      </c>
      <c r="D16" s="145">
        <v>40343</v>
      </c>
      <c r="E16" s="146">
        <v>10812.35</v>
      </c>
    </row>
    <row r="17" spans="1:5" ht="12.75">
      <c r="A17" s="142" t="s">
        <v>261</v>
      </c>
      <c r="B17" s="132" t="s">
        <v>278</v>
      </c>
      <c r="C17" t="s">
        <v>160</v>
      </c>
      <c r="D17" s="145">
        <v>40343</v>
      </c>
      <c r="E17" s="146">
        <v>1035.3</v>
      </c>
    </row>
    <row r="18" spans="1:5" ht="12.75">
      <c r="A18" s="142" t="s">
        <v>261</v>
      </c>
      <c r="B18" s="132" t="s">
        <v>279</v>
      </c>
      <c r="C18" t="s">
        <v>160</v>
      </c>
      <c r="D18" s="145">
        <v>40343</v>
      </c>
      <c r="E18" s="146">
        <v>2292.89</v>
      </c>
    </row>
    <row r="19" spans="1:5" ht="12.75">
      <c r="A19" s="142" t="s">
        <v>261</v>
      </c>
      <c r="B19" s="132" t="s">
        <v>280</v>
      </c>
      <c r="C19" t="s">
        <v>265</v>
      </c>
      <c r="D19" s="145">
        <v>40366</v>
      </c>
      <c r="E19" s="146">
        <v>874.65</v>
      </c>
    </row>
    <row r="20" spans="1:5" ht="12.75">
      <c r="A20" s="142" t="s">
        <v>261</v>
      </c>
      <c r="B20" s="132" t="s">
        <v>281</v>
      </c>
      <c r="C20" t="s">
        <v>268</v>
      </c>
      <c r="D20" s="145">
        <v>40383</v>
      </c>
      <c r="E20" s="146">
        <v>5728.27</v>
      </c>
    </row>
    <row r="21" spans="1:5" ht="12.75">
      <c r="A21" s="142" t="s">
        <v>261</v>
      </c>
      <c r="B21" s="132"/>
      <c r="D21" s="145"/>
      <c r="E21" s="146"/>
    </row>
    <row r="22" spans="1:5" ht="12.75">
      <c r="A22" s="142" t="s">
        <v>261</v>
      </c>
      <c r="B22" s="132"/>
      <c r="D22" s="145"/>
      <c r="E22" s="146"/>
    </row>
    <row r="23" spans="1:5" ht="12.75">
      <c r="A23" s="142" t="s">
        <v>261</v>
      </c>
      <c r="B23" s="132"/>
      <c r="D23" s="145"/>
      <c r="E23" s="146"/>
    </row>
    <row r="24" spans="1:5" ht="12.75">
      <c r="A24" s="142" t="s">
        <v>261</v>
      </c>
      <c r="B24" s="132"/>
      <c r="D24" s="145"/>
      <c r="E24" s="146"/>
    </row>
    <row r="25" spans="1:5" ht="12.75">
      <c r="A25" s="142" t="s">
        <v>261</v>
      </c>
      <c r="B25" s="132"/>
      <c r="D25" s="145"/>
      <c r="E25" s="146"/>
    </row>
    <row r="26" spans="1:5" ht="12.75">
      <c r="A26" s="142" t="s">
        <v>261</v>
      </c>
      <c r="B26" s="132"/>
      <c r="D26" s="145"/>
      <c r="E26" s="146"/>
    </row>
    <row r="27" spans="1:5" ht="12.75">
      <c r="A27" s="142" t="s">
        <v>261</v>
      </c>
      <c r="B27" s="132"/>
      <c r="D27" s="145"/>
      <c r="E27" s="146"/>
    </row>
    <row r="28" spans="1:5" ht="12.75">
      <c r="A28" s="142" t="s">
        <v>261</v>
      </c>
      <c r="B28" s="132"/>
      <c r="D28" s="145"/>
      <c r="E28" s="146"/>
    </row>
    <row r="29" spans="1:5" ht="12.75">
      <c r="A29" s="142" t="s">
        <v>261</v>
      </c>
      <c r="B29" s="132"/>
      <c r="D29" s="145"/>
      <c r="E29" s="146"/>
    </row>
    <row r="30" spans="1:5" ht="12.75">
      <c r="A30" s="142" t="s">
        <v>261</v>
      </c>
      <c r="B30" s="132"/>
      <c r="D30" s="145"/>
      <c r="E30" s="146"/>
    </row>
    <row r="31" spans="1:5" ht="12.75">
      <c r="A31" s="142" t="s">
        <v>261</v>
      </c>
      <c r="B31" s="132"/>
      <c r="D31" s="145"/>
      <c r="E31" s="146"/>
    </row>
    <row r="32" spans="1:5" ht="12.75">
      <c r="A32" s="142" t="s">
        <v>261</v>
      </c>
      <c r="B32" s="132"/>
      <c r="D32" s="145"/>
      <c r="E32" s="146"/>
    </row>
    <row r="33" spans="4:5" ht="12.75">
      <c r="D33" s="133"/>
      <c r="E33" s="147">
        <f>SUM(E6:E32)</f>
        <v>56298.94</v>
      </c>
    </row>
    <row r="35" ht="12.75">
      <c r="E35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82" zoomScaleNormal="110" zoomScaleSheetLayoutView="82" workbookViewId="0" topLeftCell="A11">
      <selection activeCell="K41" sqref="K41"/>
    </sheetView>
  </sheetViews>
  <sheetFormatPr defaultColWidth="12.57421875" defaultRowHeight="12.75"/>
  <cols>
    <col min="1" max="1" width="6.8515625" style="0" customWidth="1"/>
    <col min="2" max="2" width="9.140625" style="0" customWidth="1"/>
    <col min="3" max="3" width="7.421875" style="39" customWidth="1"/>
    <col min="4" max="6" width="7.7109375" style="39" customWidth="1"/>
    <col min="7" max="7" width="7.28125" style="39" customWidth="1"/>
    <col min="8" max="8" width="6.7109375" style="39" customWidth="1"/>
    <col min="9" max="11" width="7.7109375" style="39" customWidth="1"/>
    <col min="12" max="12" width="7.421875" style="39" customWidth="1"/>
    <col min="13" max="13" width="7.28125" style="39" customWidth="1"/>
    <col min="14" max="14" width="7.7109375" style="39" customWidth="1"/>
    <col min="15" max="15" width="8.57421875" style="148" customWidth="1"/>
    <col min="16" max="16" width="7.421875" style="39" customWidth="1"/>
    <col min="17" max="17" width="5.421875" style="0" customWidth="1"/>
    <col min="18" max="18" width="9.140625" style="39" customWidth="1"/>
    <col min="19" max="19" width="10.8515625" style="0" customWidth="1"/>
    <col min="20" max="16384" width="11.57421875" style="0" customWidth="1"/>
  </cols>
  <sheetData>
    <row r="1" spans="1:19" s="154" customFormat="1" ht="23.25">
      <c r="A1" s="149"/>
      <c r="B1" s="150">
        <v>2010</v>
      </c>
      <c r="C1" s="151" t="s">
        <v>128</v>
      </c>
      <c r="D1" s="151" t="s">
        <v>282</v>
      </c>
      <c r="E1" s="151" t="s">
        <v>283</v>
      </c>
      <c r="F1" s="151" t="s">
        <v>284</v>
      </c>
      <c r="G1" s="151" t="s">
        <v>285</v>
      </c>
      <c r="H1" s="151" t="s">
        <v>286</v>
      </c>
      <c r="I1" s="151" t="s">
        <v>287</v>
      </c>
      <c r="J1" s="151" t="s">
        <v>288</v>
      </c>
      <c r="K1" s="151" t="s">
        <v>289</v>
      </c>
      <c r="L1" s="151" t="s">
        <v>290</v>
      </c>
      <c r="M1" s="151" t="s">
        <v>291</v>
      </c>
      <c r="N1" s="151" t="s">
        <v>292</v>
      </c>
      <c r="O1" s="152" t="s">
        <v>293</v>
      </c>
      <c r="P1" s="153" t="s">
        <v>294</v>
      </c>
      <c r="Q1" s="154" t="s">
        <v>295</v>
      </c>
      <c r="R1" s="153" t="s">
        <v>296</v>
      </c>
      <c r="S1" s="154" t="s">
        <v>297</v>
      </c>
    </row>
    <row r="2" spans="1:19" ht="12.75">
      <c r="A2" s="155" t="s">
        <v>298</v>
      </c>
      <c r="B2" s="156" t="s">
        <v>299</v>
      </c>
      <c r="C2" s="157"/>
      <c r="D2" s="157">
        <v>153.01</v>
      </c>
      <c r="E2" s="157">
        <f>D2</f>
        <v>153.01</v>
      </c>
      <c r="F2" s="157"/>
      <c r="G2" s="157">
        <v>306.02</v>
      </c>
      <c r="H2" s="157">
        <v>153.01</v>
      </c>
      <c r="I2" s="157">
        <f>153.01+153.01-153.01+153.01</f>
        <v>306.02</v>
      </c>
      <c r="J2" s="157">
        <v>153.01</v>
      </c>
      <c r="K2" s="157">
        <v>153.01</v>
      </c>
      <c r="L2" s="157">
        <v>153.01</v>
      </c>
      <c r="M2" s="157">
        <v>153.01</v>
      </c>
      <c r="N2" s="157">
        <v>153.01</v>
      </c>
      <c r="O2" s="158">
        <f>SUM(C2:N2)</f>
        <v>1836.12</v>
      </c>
      <c r="P2" s="157">
        <v>153.01</v>
      </c>
      <c r="Q2" s="124">
        <v>12</v>
      </c>
      <c r="R2" s="157">
        <f>Q2*P2</f>
        <v>1836.12</v>
      </c>
      <c r="S2" s="124">
        <f>R2-O2</f>
        <v>0</v>
      </c>
    </row>
    <row r="3" spans="1:19" s="164" customFormat="1" ht="12.75">
      <c r="A3" s="159" t="s">
        <v>300</v>
      </c>
      <c r="B3" s="160" t="s">
        <v>301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161">
        <v>211.61</v>
      </c>
      <c r="Q3" s="163">
        <v>12</v>
      </c>
      <c r="R3" s="161">
        <v>0</v>
      </c>
      <c r="S3" s="163"/>
    </row>
    <row r="4" spans="1:19" ht="12.75">
      <c r="A4" s="155" t="s">
        <v>302</v>
      </c>
      <c r="B4" s="156" t="s">
        <v>303</v>
      </c>
      <c r="C4" s="157"/>
      <c r="D4" s="157">
        <v>170.41</v>
      </c>
      <c r="E4" s="157">
        <f>D4</f>
        <v>170.41</v>
      </c>
      <c r="F4" s="157"/>
      <c r="G4" s="157">
        <v>340.82</v>
      </c>
      <c r="H4" s="157">
        <v>170.41</v>
      </c>
      <c r="I4" s="157">
        <f>170.41+170.41</f>
        <v>340.82</v>
      </c>
      <c r="J4" s="157">
        <v>170.41</v>
      </c>
      <c r="K4" s="157">
        <v>170.41</v>
      </c>
      <c r="L4" s="157">
        <v>170.41</v>
      </c>
      <c r="M4" s="157">
        <v>170.41</v>
      </c>
      <c r="N4" s="157">
        <v>170.41</v>
      </c>
      <c r="O4" s="158">
        <f>SUM(C4:N4)</f>
        <v>2044.9200000000005</v>
      </c>
      <c r="P4" s="157">
        <v>170.41</v>
      </c>
      <c r="Q4" s="124">
        <v>12</v>
      </c>
      <c r="R4" s="157">
        <f>Q4*P4</f>
        <v>2044.92</v>
      </c>
      <c r="S4" s="124">
        <f>R4-O4</f>
        <v>0</v>
      </c>
    </row>
    <row r="5" spans="1:19" s="164" customFormat="1" ht="12.75">
      <c r="A5" s="159" t="s">
        <v>304</v>
      </c>
      <c r="B5" s="160" t="s">
        <v>305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2"/>
      <c r="P5" s="161">
        <v>245.33</v>
      </c>
      <c r="Q5" s="163">
        <v>12</v>
      </c>
      <c r="R5" s="161">
        <v>0</v>
      </c>
      <c r="S5" s="163"/>
    </row>
    <row r="6" spans="1:19" ht="12.75">
      <c r="A6" s="155" t="s">
        <v>306</v>
      </c>
      <c r="B6" s="156" t="s">
        <v>307</v>
      </c>
      <c r="C6" s="157"/>
      <c r="D6" s="157">
        <v>148.96</v>
      </c>
      <c r="E6" s="157">
        <f>D6</f>
        <v>148.96</v>
      </c>
      <c r="F6" s="157"/>
      <c r="G6" s="157">
        <v>297.92</v>
      </c>
      <c r="H6" s="157">
        <v>148.96</v>
      </c>
      <c r="I6" s="157">
        <f>148.96+148.96</f>
        <v>297.92</v>
      </c>
      <c r="J6" s="157">
        <v>148.96</v>
      </c>
      <c r="K6" s="157">
        <v>148.96</v>
      </c>
      <c r="L6" s="157">
        <v>148.96</v>
      </c>
      <c r="M6" s="157"/>
      <c r="N6" s="157">
        <v>297.92</v>
      </c>
      <c r="O6" s="158">
        <f>SUM(C6:N6)</f>
        <v>1787.5200000000002</v>
      </c>
      <c r="P6" s="157">
        <v>148.96</v>
      </c>
      <c r="Q6" s="124">
        <v>12</v>
      </c>
      <c r="R6" s="157">
        <f>Q6*P6</f>
        <v>1787.52</v>
      </c>
      <c r="S6" s="124">
        <f>R6-O6</f>
        <v>0</v>
      </c>
    </row>
    <row r="7" spans="1:20" ht="12.75">
      <c r="A7" s="155" t="s">
        <v>308</v>
      </c>
      <c r="B7" s="156" t="s">
        <v>309</v>
      </c>
      <c r="C7" s="157"/>
      <c r="D7" s="157">
        <v>233.11</v>
      </c>
      <c r="E7" s="157">
        <f>D7</f>
        <v>233.11</v>
      </c>
      <c r="F7" s="157"/>
      <c r="G7" s="157">
        <v>466.22</v>
      </c>
      <c r="H7" s="157">
        <v>233.11</v>
      </c>
      <c r="I7" s="157">
        <f>233.11+233.11</f>
        <v>466.22</v>
      </c>
      <c r="J7" s="157">
        <f>233.11-233.11+233.11</f>
        <v>233.11</v>
      </c>
      <c r="K7" s="157">
        <f>233.11-233.11</f>
        <v>0</v>
      </c>
      <c r="L7" s="157">
        <v>466.22</v>
      </c>
      <c r="M7" s="157">
        <f>233.11-233.11</f>
        <v>0</v>
      </c>
      <c r="N7" s="157">
        <f>233.11-233.11+466.22</f>
        <v>466.22</v>
      </c>
      <c r="O7" s="158">
        <f>SUM(C7:N7)</f>
        <v>2797.32</v>
      </c>
      <c r="P7" s="157">
        <v>233.11</v>
      </c>
      <c r="Q7" s="124">
        <v>12</v>
      </c>
      <c r="R7" s="157">
        <f>Q7*P7</f>
        <v>2797.32</v>
      </c>
      <c r="S7" s="124">
        <f>R7-O7</f>
        <v>0</v>
      </c>
      <c r="T7" t="s">
        <v>310</v>
      </c>
    </row>
    <row r="8" spans="1:19" s="164" customFormat="1" ht="12.75">
      <c r="A8" s="159" t="s">
        <v>311</v>
      </c>
      <c r="B8" s="160" t="s">
        <v>312</v>
      </c>
      <c r="C8" s="161"/>
      <c r="D8" s="161"/>
      <c r="E8" s="161"/>
      <c r="F8" s="161"/>
      <c r="G8" s="161"/>
      <c r="H8" s="161">
        <f>-231.78+231.78</f>
        <v>0</v>
      </c>
      <c r="I8" s="161"/>
      <c r="J8" s="161"/>
      <c r="K8" s="161"/>
      <c r="L8" s="161"/>
      <c r="M8" s="161"/>
      <c r="N8" s="161"/>
      <c r="O8" s="162"/>
      <c r="P8" s="161">
        <v>165.64</v>
      </c>
      <c r="Q8" s="163">
        <v>12</v>
      </c>
      <c r="R8" s="161">
        <v>0</v>
      </c>
      <c r="S8" s="163"/>
    </row>
    <row r="9" spans="1:19" ht="12.75">
      <c r="A9" s="155" t="s">
        <v>313</v>
      </c>
      <c r="B9" s="156" t="s">
        <v>314</v>
      </c>
      <c r="C9" s="157"/>
      <c r="D9" s="157">
        <v>231.78</v>
      </c>
      <c r="E9" s="157">
        <f>D9</f>
        <v>231.78</v>
      </c>
      <c r="F9" s="157"/>
      <c r="G9" s="157">
        <v>463.53</v>
      </c>
      <c r="H9" s="157">
        <v>231.78</v>
      </c>
      <c r="I9" s="157">
        <f>231.78+231.78</f>
        <v>463.56</v>
      </c>
      <c r="J9" s="157">
        <v>231.78</v>
      </c>
      <c r="K9" s="157">
        <v>231.78</v>
      </c>
      <c r="L9" s="157">
        <v>231.78</v>
      </c>
      <c r="M9" s="157">
        <v>231.78</v>
      </c>
      <c r="N9" s="157">
        <v>231.78</v>
      </c>
      <c r="O9" s="158">
        <f>SUM(C9:N9)</f>
        <v>2781.3300000000004</v>
      </c>
      <c r="P9" s="157">
        <v>231.78</v>
      </c>
      <c r="Q9" s="124">
        <v>12</v>
      </c>
      <c r="R9" s="157">
        <f>Q9*P9</f>
        <v>2781.36</v>
      </c>
      <c r="S9" s="124">
        <f>R9-O9</f>
        <v>0.02999999999974534</v>
      </c>
    </row>
    <row r="10" spans="1:19" ht="12.75">
      <c r="A10" s="155" t="s">
        <v>315</v>
      </c>
      <c r="B10" s="156" t="s">
        <v>316</v>
      </c>
      <c r="C10" s="157"/>
      <c r="D10" s="157">
        <v>223.77</v>
      </c>
      <c r="E10" s="157">
        <f>D10</f>
        <v>223.77</v>
      </c>
      <c r="F10" s="157"/>
      <c r="G10" s="157">
        <v>447.54</v>
      </c>
      <c r="H10" s="157">
        <v>223.77</v>
      </c>
      <c r="I10" s="157">
        <f>223.77+223.77</f>
        <v>447.54</v>
      </c>
      <c r="J10" s="157">
        <v>223.77</v>
      </c>
      <c r="K10" s="157">
        <v>223.77</v>
      </c>
      <c r="L10" s="157">
        <v>223.77</v>
      </c>
      <c r="M10" s="157">
        <v>223.77</v>
      </c>
      <c r="N10" s="157">
        <v>223.77</v>
      </c>
      <c r="O10" s="158">
        <f>SUM(C10:N10)</f>
        <v>2685.2400000000002</v>
      </c>
      <c r="P10" s="157">
        <v>223.77</v>
      </c>
      <c r="Q10" s="124">
        <v>12</v>
      </c>
      <c r="R10" s="157">
        <f>Q10*P10</f>
        <v>2685.2400000000002</v>
      </c>
      <c r="S10" s="124">
        <f>R10-O10</f>
        <v>0</v>
      </c>
    </row>
    <row r="11" spans="1:19" s="170" customFormat="1" ht="12.75">
      <c r="A11" s="165" t="s">
        <v>317</v>
      </c>
      <c r="B11" s="166" t="s">
        <v>318</v>
      </c>
      <c r="C11" s="167"/>
      <c r="D11" s="167">
        <v>228.62</v>
      </c>
      <c r="E11" s="167">
        <f>D11</f>
        <v>228.62</v>
      </c>
      <c r="F11" s="167"/>
      <c r="G11" s="167">
        <v>457.26</v>
      </c>
      <c r="H11" s="167">
        <v>228.62</v>
      </c>
      <c r="I11" s="167">
        <f>228.62-228.62+228.62+228.62-228.62+228.26</f>
        <v>456.88</v>
      </c>
      <c r="J11" s="167">
        <f>228.62+228.62-228.62</f>
        <v>228.62</v>
      </c>
      <c r="K11" s="167"/>
      <c r="L11" s="167"/>
      <c r="M11" s="167"/>
      <c r="N11" s="167"/>
      <c r="O11" s="168">
        <f>SUM(C11:N11)</f>
        <v>1828.62</v>
      </c>
      <c r="P11" s="167">
        <v>228.62</v>
      </c>
      <c r="Q11" s="169">
        <v>8</v>
      </c>
      <c r="R11" s="167">
        <f>Q11*P11</f>
        <v>1828.96</v>
      </c>
      <c r="S11" s="124">
        <f>R11-O11</f>
        <v>0.3400000000001455</v>
      </c>
    </row>
    <row r="12" spans="1:19" s="170" customFormat="1" ht="12.75">
      <c r="A12" s="165" t="s">
        <v>317</v>
      </c>
      <c r="B12" s="166" t="s">
        <v>319</v>
      </c>
      <c r="C12" s="167"/>
      <c r="D12" s="167"/>
      <c r="E12" s="167"/>
      <c r="F12" s="167"/>
      <c r="G12" s="167"/>
      <c r="H12" s="167"/>
      <c r="I12" s="167"/>
      <c r="J12" s="167"/>
      <c r="K12" s="167">
        <f>228.62-228.62</f>
        <v>0</v>
      </c>
      <c r="L12" s="167">
        <f>457.24-457.24</f>
        <v>0</v>
      </c>
      <c r="M12" s="167">
        <f>457.24+228.62</f>
        <v>685.86</v>
      </c>
      <c r="N12" s="167">
        <f>-228.62+228.62+228.62</f>
        <v>228.62</v>
      </c>
      <c r="O12" s="168">
        <f>SUM(C12:N12)</f>
        <v>914.48</v>
      </c>
      <c r="P12" s="171">
        <v>228.62</v>
      </c>
      <c r="Q12" s="169">
        <v>4</v>
      </c>
      <c r="R12" s="167">
        <f>Q12*P12</f>
        <v>914.48</v>
      </c>
      <c r="S12" s="124">
        <f>R12-O12</f>
        <v>0</v>
      </c>
    </row>
    <row r="13" spans="1:19" s="29" customFormat="1" ht="12.75">
      <c r="A13" s="155" t="s">
        <v>320</v>
      </c>
      <c r="B13" s="156" t="s">
        <v>321</v>
      </c>
      <c r="C13" s="172"/>
      <c r="D13" s="172">
        <v>250.55</v>
      </c>
      <c r="E13" s="172">
        <f>D13</f>
        <v>250.55</v>
      </c>
      <c r="F13" s="172"/>
      <c r="G13" s="172">
        <f>250.55+250.55</f>
        <v>501.1</v>
      </c>
      <c r="H13" s="172">
        <v>250.55</v>
      </c>
      <c r="I13" s="172">
        <f>250.55+250.55</f>
        <v>501.1</v>
      </c>
      <c r="J13" s="172">
        <v>250.55</v>
      </c>
      <c r="K13" s="172">
        <v>250.55</v>
      </c>
      <c r="L13" s="172">
        <v>250.55</v>
      </c>
      <c r="M13" s="172">
        <v>250.55</v>
      </c>
      <c r="N13" s="172">
        <v>250.55</v>
      </c>
      <c r="O13" s="158">
        <f>SUM(C13:N13)</f>
        <v>3006.600000000001</v>
      </c>
      <c r="P13" s="172">
        <v>250.55</v>
      </c>
      <c r="Q13" s="173">
        <v>12</v>
      </c>
      <c r="R13" s="172">
        <f>Q13*P13</f>
        <v>3006.6000000000004</v>
      </c>
      <c r="S13" s="124">
        <f>R13-O13</f>
        <v>0</v>
      </c>
    </row>
    <row r="14" spans="1:19" s="170" customFormat="1" ht="12.75">
      <c r="A14" s="165" t="s">
        <v>248</v>
      </c>
      <c r="B14" s="166" t="s">
        <v>322</v>
      </c>
      <c r="C14" s="167"/>
      <c r="D14" s="167">
        <v>240.81</v>
      </c>
      <c r="E14" s="167">
        <v>120.81</v>
      </c>
      <c r="F14" s="167"/>
      <c r="G14" s="167"/>
      <c r="H14" s="167"/>
      <c r="I14" s="167"/>
      <c r="J14" s="167"/>
      <c r="K14" s="167"/>
      <c r="L14" s="167"/>
      <c r="M14" s="167"/>
      <c r="N14" s="167"/>
      <c r="O14" s="168">
        <f>SUM(C14:N14)</f>
        <v>361.62</v>
      </c>
      <c r="P14" s="167">
        <v>240.81</v>
      </c>
      <c r="Q14" s="169">
        <v>1.5</v>
      </c>
      <c r="R14" s="167">
        <f>Q14*P14</f>
        <v>361.21500000000003</v>
      </c>
      <c r="S14" s="124">
        <f>R14-O14</f>
        <v>-0.4049999999999727</v>
      </c>
    </row>
    <row r="15" spans="1:19" s="170" customFormat="1" ht="12.75">
      <c r="A15" s="165" t="s">
        <v>323</v>
      </c>
      <c r="B15" s="166" t="s">
        <v>324</v>
      </c>
      <c r="C15" s="167"/>
      <c r="D15" s="167"/>
      <c r="E15" s="167">
        <v>120.81</v>
      </c>
      <c r="F15" s="167"/>
      <c r="G15" s="167">
        <v>481.62</v>
      </c>
      <c r="H15" s="167">
        <v>240.81</v>
      </c>
      <c r="I15" s="167">
        <f>240.81+240.81</f>
        <v>481.62</v>
      </c>
      <c r="J15" s="167">
        <v>240.81</v>
      </c>
      <c r="K15" s="167">
        <v>240.81</v>
      </c>
      <c r="L15" s="167">
        <v>240.81</v>
      </c>
      <c r="M15" s="167">
        <v>240.81</v>
      </c>
      <c r="N15" s="167">
        <v>240.81</v>
      </c>
      <c r="O15" s="168">
        <f>SUM(C15:N15)</f>
        <v>2528.91</v>
      </c>
      <c r="P15" s="167">
        <v>240.81</v>
      </c>
      <c r="Q15" s="169">
        <v>10.5</v>
      </c>
      <c r="R15" s="167">
        <f>Q15*P15</f>
        <v>2528.505</v>
      </c>
      <c r="S15" s="124">
        <f>R15-O15</f>
        <v>-0.40499999999974534</v>
      </c>
    </row>
    <row r="16" spans="1:19" ht="12.75">
      <c r="A16" s="155" t="s">
        <v>325</v>
      </c>
      <c r="B16" s="156" t="s">
        <v>326</v>
      </c>
      <c r="C16" s="157"/>
      <c r="D16" s="157"/>
      <c r="E16" s="157">
        <f>302.36+151.18</f>
        <v>453.54</v>
      </c>
      <c r="F16" s="157">
        <v>151.18</v>
      </c>
      <c r="G16" s="157">
        <f>F16</f>
        <v>151.18</v>
      </c>
      <c r="H16" s="157">
        <f>G16</f>
        <v>151.18</v>
      </c>
      <c r="I16" s="157">
        <v>151.18</v>
      </c>
      <c r="J16" s="157">
        <v>151.18</v>
      </c>
      <c r="K16" s="157">
        <v>151.18</v>
      </c>
      <c r="L16" s="157">
        <v>151.18</v>
      </c>
      <c r="M16" s="157">
        <v>151.18</v>
      </c>
      <c r="N16" s="157">
        <v>151.18</v>
      </c>
      <c r="O16" s="158">
        <f>SUM(C16:N16)</f>
        <v>1814.1600000000003</v>
      </c>
      <c r="P16" s="157">
        <v>151.18</v>
      </c>
      <c r="Q16" s="124">
        <v>12</v>
      </c>
      <c r="R16" s="157">
        <f>Q16*P16</f>
        <v>1814.16</v>
      </c>
      <c r="S16" s="124">
        <f>R16-O16</f>
        <v>0</v>
      </c>
    </row>
    <row r="17" spans="1:19" ht="12.75">
      <c r="A17" s="155" t="s">
        <v>327</v>
      </c>
      <c r="B17" s="156" t="s">
        <v>328</v>
      </c>
      <c r="C17" s="157"/>
      <c r="D17" s="157">
        <v>213.38</v>
      </c>
      <c r="E17" s="157">
        <f>D17</f>
        <v>213.38</v>
      </c>
      <c r="F17" s="157"/>
      <c r="G17" s="157">
        <v>426.76</v>
      </c>
      <c r="H17" s="157">
        <v>213.38</v>
      </c>
      <c r="I17" s="157">
        <f>213.38+213.38</f>
        <v>426.76</v>
      </c>
      <c r="J17" s="157">
        <v>213.38</v>
      </c>
      <c r="K17" s="157">
        <v>213.38</v>
      </c>
      <c r="L17" s="157">
        <v>213.38</v>
      </c>
      <c r="M17" s="157">
        <v>213.38</v>
      </c>
      <c r="N17" s="157">
        <v>213.38</v>
      </c>
      <c r="O17" s="158">
        <f>SUM(C17:N17)</f>
        <v>2560.5600000000004</v>
      </c>
      <c r="P17" s="157">
        <v>213.38</v>
      </c>
      <c r="Q17" s="124">
        <v>12</v>
      </c>
      <c r="R17" s="157">
        <f>Q17*P17</f>
        <v>2560.56</v>
      </c>
      <c r="S17" s="124">
        <f>R17-O17</f>
        <v>0</v>
      </c>
    </row>
    <row r="18" spans="1:19" s="164" customFormat="1" ht="12.75">
      <c r="A18" s="159" t="s">
        <v>329</v>
      </c>
      <c r="B18" s="160" t="s">
        <v>330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61">
        <v>137.77</v>
      </c>
      <c r="Q18" s="163">
        <v>12</v>
      </c>
      <c r="R18" s="161">
        <v>0</v>
      </c>
      <c r="S18" s="163"/>
    </row>
    <row r="19" spans="1:19" ht="12.75">
      <c r="A19" s="155" t="s">
        <v>331</v>
      </c>
      <c r="B19" s="156" t="s">
        <v>332</v>
      </c>
      <c r="C19" s="157"/>
      <c r="D19" s="157">
        <v>286.52</v>
      </c>
      <c r="E19" s="157">
        <f>D19</f>
        <v>286.52</v>
      </c>
      <c r="F19" s="157"/>
      <c r="G19" s="157">
        <f>286.52+286.52</f>
        <v>573.04</v>
      </c>
      <c r="H19" s="157">
        <v>286.52</v>
      </c>
      <c r="I19" s="157">
        <f>286.52-286.52+286.52+286.52</f>
        <v>573.04</v>
      </c>
      <c r="J19" s="157">
        <v>286.52</v>
      </c>
      <c r="K19" s="157">
        <v>286.52</v>
      </c>
      <c r="L19" s="157">
        <v>286.52</v>
      </c>
      <c r="M19" s="157">
        <v>286.52</v>
      </c>
      <c r="N19" s="157">
        <v>286.52</v>
      </c>
      <c r="O19" s="158">
        <f>SUM(C19:N19)</f>
        <v>3438.24</v>
      </c>
      <c r="P19" s="161">
        <v>286.52</v>
      </c>
      <c r="Q19" s="124">
        <v>12</v>
      </c>
      <c r="R19" s="157">
        <f>Q19*P19</f>
        <v>3438.24</v>
      </c>
      <c r="S19" s="124">
        <f>R19-O19</f>
        <v>0</v>
      </c>
    </row>
    <row r="20" spans="1:19" ht="12.75">
      <c r="A20" s="155" t="s">
        <v>333</v>
      </c>
      <c r="B20" s="156" t="s">
        <v>334</v>
      </c>
      <c r="C20" s="157"/>
      <c r="D20" s="157">
        <v>147.54</v>
      </c>
      <c r="E20" s="157">
        <f>D20</f>
        <v>147.54</v>
      </c>
      <c r="F20" s="157"/>
      <c r="G20" s="157">
        <v>295.08</v>
      </c>
      <c r="H20" s="157">
        <v>147.54</v>
      </c>
      <c r="I20" s="157">
        <f>147.54+147.54</f>
        <v>295.08</v>
      </c>
      <c r="J20" s="157">
        <v>147.54</v>
      </c>
      <c r="K20" s="157">
        <v>147.54</v>
      </c>
      <c r="L20" s="157">
        <v>147.54</v>
      </c>
      <c r="M20" s="157">
        <v>147.54</v>
      </c>
      <c r="N20" s="157">
        <v>147.54</v>
      </c>
      <c r="O20" s="158">
        <f>SUM(C20:N20)</f>
        <v>1770.4799999999998</v>
      </c>
      <c r="P20" s="157">
        <v>147.54</v>
      </c>
      <c r="Q20" s="124">
        <v>12</v>
      </c>
      <c r="R20" s="157">
        <f>Q20*P20</f>
        <v>1770.48</v>
      </c>
      <c r="S20" s="124">
        <f>R20-O20</f>
        <v>0</v>
      </c>
    </row>
    <row r="21" spans="1:19" ht="12.75">
      <c r="A21" s="155" t="s">
        <v>335</v>
      </c>
      <c r="B21" s="156" t="s">
        <v>336</v>
      </c>
      <c r="C21" s="157"/>
      <c r="D21" s="157"/>
      <c r="E21" s="157"/>
      <c r="F21" s="157">
        <v>2772.48</v>
      </c>
      <c r="G21" s="157"/>
      <c r="H21" s="157"/>
      <c r="I21" s="157"/>
      <c r="J21" s="157"/>
      <c r="K21" s="157"/>
      <c r="L21" s="157"/>
      <c r="M21" s="157"/>
      <c r="N21" s="157"/>
      <c r="O21" s="158">
        <f>SUM(C21:N21)</f>
        <v>2772.48</v>
      </c>
      <c r="P21" s="157">
        <v>231.04</v>
      </c>
      <c r="Q21" s="124">
        <v>12</v>
      </c>
      <c r="R21" s="157">
        <f>Q21*P21</f>
        <v>2772.48</v>
      </c>
      <c r="S21" s="124">
        <f>R21-O21</f>
        <v>0</v>
      </c>
    </row>
    <row r="22" spans="1:19" ht="12.75">
      <c r="A22" s="155" t="s">
        <v>337</v>
      </c>
      <c r="B22" s="156" t="s">
        <v>338</v>
      </c>
      <c r="C22" s="157"/>
      <c r="D22" s="157">
        <v>154.85</v>
      </c>
      <c r="E22" s="157">
        <f>D22</f>
        <v>154.85</v>
      </c>
      <c r="F22" s="157"/>
      <c r="G22" s="157">
        <v>309.7</v>
      </c>
      <c r="H22" s="157">
        <v>154.85</v>
      </c>
      <c r="I22" s="157">
        <f>154.54+154.54</f>
        <v>309.08</v>
      </c>
      <c r="J22" s="157">
        <v>154.54</v>
      </c>
      <c r="K22" s="157">
        <v>154.54</v>
      </c>
      <c r="L22" s="157">
        <v>154.54</v>
      </c>
      <c r="M22" s="157">
        <v>154.54</v>
      </c>
      <c r="N22" s="157">
        <v>154.54</v>
      </c>
      <c r="O22" s="158">
        <f>SUM(C22:N22)</f>
        <v>1856.0299999999997</v>
      </c>
      <c r="P22" s="157">
        <v>154.85</v>
      </c>
      <c r="Q22" s="124">
        <v>12</v>
      </c>
      <c r="R22" s="157">
        <f>Q22*P22</f>
        <v>1858.1999999999998</v>
      </c>
      <c r="S22" s="124">
        <f>R22-O22</f>
        <v>2.1700000000000728</v>
      </c>
    </row>
    <row r="23" spans="1:19" ht="12.75">
      <c r="A23" s="155" t="s">
        <v>339</v>
      </c>
      <c r="B23" s="156" t="s">
        <v>340</v>
      </c>
      <c r="C23" s="157">
        <v>355.4</v>
      </c>
      <c r="D23" s="157"/>
      <c r="E23" s="157"/>
      <c r="F23" s="157">
        <v>355.8</v>
      </c>
      <c r="G23" s="157"/>
      <c r="H23" s="157"/>
      <c r="I23" s="157">
        <v>355.4</v>
      </c>
      <c r="J23" s="157"/>
      <c r="K23" s="157"/>
      <c r="L23" s="157">
        <v>755</v>
      </c>
      <c r="M23" s="157"/>
      <c r="N23" s="157"/>
      <c r="O23" s="158">
        <f>SUM(C23:N23)</f>
        <v>1821.6</v>
      </c>
      <c r="P23" s="157">
        <v>151.8</v>
      </c>
      <c r="Q23" s="124">
        <v>12</v>
      </c>
      <c r="R23" s="157">
        <f>Q23*P23</f>
        <v>1821.6000000000001</v>
      </c>
      <c r="S23" s="124">
        <f>R23-O23</f>
        <v>0</v>
      </c>
    </row>
    <row r="24" spans="1:19" ht="12.75">
      <c r="A24" s="155" t="s">
        <v>341</v>
      </c>
      <c r="B24" s="156" t="s">
        <v>342</v>
      </c>
      <c r="C24" s="157"/>
      <c r="D24" s="157">
        <v>231.04</v>
      </c>
      <c r="E24" s="157">
        <f>D24</f>
        <v>231.04</v>
      </c>
      <c r="F24" s="157"/>
      <c r="G24" s="157">
        <v>462.08</v>
      </c>
      <c r="H24" s="157">
        <v>231.04</v>
      </c>
      <c r="I24" s="157">
        <f>231.04+231.04</f>
        <v>462.08</v>
      </c>
      <c r="J24" s="157">
        <f>231.04-231.04</f>
        <v>0</v>
      </c>
      <c r="K24" s="157">
        <f>231.04+231.04</f>
        <v>462.08</v>
      </c>
      <c r="L24" s="157">
        <v>231.04</v>
      </c>
      <c r="M24" s="157">
        <v>231.04</v>
      </c>
      <c r="N24" s="157">
        <v>231.04</v>
      </c>
      <c r="O24" s="158">
        <f>SUM(C24:N24)</f>
        <v>2772.48</v>
      </c>
      <c r="P24" s="157">
        <v>231.04</v>
      </c>
      <c r="Q24" s="124">
        <v>12</v>
      </c>
      <c r="R24" s="157">
        <f>Q24*P24</f>
        <v>2772.48</v>
      </c>
      <c r="S24" s="124">
        <f>R24-O24</f>
        <v>0</v>
      </c>
    </row>
    <row r="25" spans="1:19" ht="12.75">
      <c r="A25" s="155" t="s">
        <v>343</v>
      </c>
      <c r="B25" s="156" t="s">
        <v>344</v>
      </c>
      <c r="C25" s="157"/>
      <c r="D25" s="157">
        <v>245.08</v>
      </c>
      <c r="E25" s="157">
        <f>D25</f>
        <v>245.08</v>
      </c>
      <c r="F25" s="157"/>
      <c r="G25" s="157">
        <v>490.16</v>
      </c>
      <c r="H25" s="157">
        <v>245.08</v>
      </c>
      <c r="I25" s="157">
        <f>245.08+245.08</f>
        <v>490.16</v>
      </c>
      <c r="J25" s="157">
        <v>245.08</v>
      </c>
      <c r="K25" s="157">
        <v>245.08</v>
      </c>
      <c r="L25" s="157">
        <v>245.08</v>
      </c>
      <c r="M25" s="157">
        <v>245.08</v>
      </c>
      <c r="N25" s="157">
        <v>245.08</v>
      </c>
      <c r="O25" s="158">
        <f>SUM(C25:N25)</f>
        <v>2940.9599999999996</v>
      </c>
      <c r="P25" s="157">
        <v>245.08</v>
      </c>
      <c r="Q25" s="124">
        <v>12</v>
      </c>
      <c r="R25" s="157">
        <f>Q25*P25</f>
        <v>2940.96</v>
      </c>
      <c r="S25" s="124">
        <f>R25-O25</f>
        <v>0</v>
      </c>
    </row>
    <row r="26" spans="1:19" s="170" customFormat="1" ht="12.75">
      <c r="A26" s="165" t="s">
        <v>345</v>
      </c>
      <c r="B26" s="166" t="s">
        <v>346</v>
      </c>
      <c r="C26" s="167"/>
      <c r="D26" s="167">
        <v>188.97</v>
      </c>
      <c r="E26" s="167">
        <f>D26</f>
        <v>188.97</v>
      </c>
      <c r="F26" s="167"/>
      <c r="G26" s="167">
        <v>188.97</v>
      </c>
      <c r="I26" s="167"/>
      <c r="J26" s="167"/>
      <c r="K26" s="167"/>
      <c r="L26" s="167"/>
      <c r="M26" s="167"/>
      <c r="N26" s="167"/>
      <c r="O26" s="168">
        <f>SUM(C26:N26)</f>
        <v>566.91</v>
      </c>
      <c r="P26" s="167">
        <v>188.97</v>
      </c>
      <c r="Q26" s="169">
        <v>3</v>
      </c>
      <c r="R26" s="167">
        <f>Q26*P26</f>
        <v>566.91</v>
      </c>
      <c r="S26" s="124">
        <f>R26-O26</f>
        <v>0</v>
      </c>
    </row>
    <row r="27" spans="1:19" s="170" customFormat="1" ht="12.75">
      <c r="A27" s="165" t="s">
        <v>345</v>
      </c>
      <c r="B27" s="166" t="s">
        <v>347</v>
      </c>
      <c r="C27" s="167"/>
      <c r="D27" s="167"/>
      <c r="E27" s="167"/>
      <c r="F27" s="167"/>
      <c r="G27" s="167">
        <v>188.97</v>
      </c>
      <c r="H27" s="167">
        <v>188.97</v>
      </c>
      <c r="I27" s="167">
        <f>188.97-188.97+188.97+188.97</f>
        <v>377.94</v>
      </c>
      <c r="J27" s="167">
        <v>188.97</v>
      </c>
      <c r="K27" s="167">
        <v>188.97</v>
      </c>
      <c r="L27" s="167">
        <v>188.97</v>
      </c>
      <c r="M27" s="167">
        <v>188.97</v>
      </c>
      <c r="N27" s="167">
        <v>188.97</v>
      </c>
      <c r="O27" s="168">
        <f>SUM(C27:N27)</f>
        <v>1700.73</v>
      </c>
      <c r="P27" s="167">
        <v>188.97</v>
      </c>
      <c r="Q27" s="169">
        <v>9</v>
      </c>
      <c r="R27" s="167">
        <f>Q27*P27</f>
        <v>1700.73</v>
      </c>
      <c r="S27" s="124">
        <f>R27-O27</f>
        <v>0</v>
      </c>
    </row>
    <row r="28" spans="1:19" s="164" customFormat="1" ht="12.75">
      <c r="A28" s="159" t="s">
        <v>348</v>
      </c>
      <c r="B28" s="160" t="s">
        <v>349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2"/>
      <c r="P28" s="161">
        <v>219.47</v>
      </c>
      <c r="Q28" s="163">
        <v>12</v>
      </c>
      <c r="R28" s="161">
        <v>0</v>
      </c>
      <c r="S28" s="163"/>
    </row>
    <row r="29" spans="1:19" ht="12.75">
      <c r="A29" s="155" t="s">
        <v>350</v>
      </c>
      <c r="B29" s="156" t="s">
        <v>351</v>
      </c>
      <c r="C29" s="157"/>
      <c r="D29" s="157">
        <v>240.33</v>
      </c>
      <c r="E29" s="157">
        <f>D29</f>
        <v>240.33</v>
      </c>
      <c r="F29" s="157"/>
      <c r="G29" s="157">
        <v>480.66</v>
      </c>
      <c r="H29" s="157">
        <v>240.33</v>
      </c>
      <c r="I29" s="157">
        <f>240.33+240.33</f>
        <v>480.66</v>
      </c>
      <c r="J29" s="157">
        <v>240.33</v>
      </c>
      <c r="K29" s="157">
        <v>240.33</v>
      </c>
      <c r="L29" s="157">
        <v>240.33</v>
      </c>
      <c r="M29" s="157">
        <v>240.33</v>
      </c>
      <c r="N29" s="157">
        <v>240.33</v>
      </c>
      <c r="O29" s="158">
        <f>SUM(C29:N29)</f>
        <v>2883.9599999999996</v>
      </c>
      <c r="P29" s="157">
        <v>240.33</v>
      </c>
      <c r="Q29" s="124">
        <v>12</v>
      </c>
      <c r="R29" s="157">
        <f>Q29*P29</f>
        <v>2883.96</v>
      </c>
      <c r="S29" s="124">
        <f>R29-O29</f>
        <v>0</v>
      </c>
    </row>
    <row r="30" spans="1:19" s="164" customFormat="1" ht="12.75">
      <c r="A30" s="159" t="s">
        <v>352</v>
      </c>
      <c r="B30" s="160" t="s">
        <v>353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2"/>
      <c r="P30" s="161">
        <v>177.27</v>
      </c>
      <c r="Q30" s="163">
        <v>12</v>
      </c>
      <c r="R30" s="161">
        <v>0</v>
      </c>
      <c r="S30" s="163"/>
    </row>
    <row r="31" spans="1:19" ht="12.75">
      <c r="A31" s="155" t="s">
        <v>354</v>
      </c>
      <c r="B31" s="156" t="s">
        <v>355</v>
      </c>
      <c r="C31" s="157"/>
      <c r="D31" s="157">
        <v>206.63</v>
      </c>
      <c r="E31" s="157">
        <f>D31</f>
        <v>206.63</v>
      </c>
      <c r="F31" s="157"/>
      <c r="G31" s="157">
        <v>413.26</v>
      </c>
      <c r="H31" s="157">
        <v>206.63</v>
      </c>
      <c r="I31" s="157">
        <f>206.63+206.63</f>
        <v>413.26</v>
      </c>
      <c r="J31" s="157">
        <v>206.63</v>
      </c>
      <c r="K31" s="157">
        <v>206.63</v>
      </c>
      <c r="L31" s="157">
        <v>206.63</v>
      </c>
      <c r="M31" s="157">
        <v>206.63</v>
      </c>
      <c r="N31" s="157">
        <v>206.63</v>
      </c>
      <c r="O31" s="158">
        <f>SUM(C31:N31)</f>
        <v>2479.5600000000004</v>
      </c>
      <c r="P31" s="157">
        <v>206.63</v>
      </c>
      <c r="Q31" s="124">
        <v>12</v>
      </c>
      <c r="R31" s="157">
        <f>Q31*P31</f>
        <v>2479.56</v>
      </c>
      <c r="S31" s="124">
        <f>R31-O31</f>
        <v>0</v>
      </c>
    </row>
    <row r="32" spans="1:19" ht="12.75">
      <c r="A32" s="155" t="s">
        <v>356</v>
      </c>
      <c r="B32" s="156" t="s">
        <v>357</v>
      </c>
      <c r="C32" s="157"/>
      <c r="D32" s="157">
        <v>228.46</v>
      </c>
      <c r="E32" s="157">
        <f>D32</f>
        <v>228.46</v>
      </c>
      <c r="F32" s="157"/>
      <c r="G32" s="157">
        <v>456.92</v>
      </c>
      <c r="H32" s="157">
        <v>228.46</v>
      </c>
      <c r="I32" s="157">
        <f>228.46+228.46</f>
        <v>456.92</v>
      </c>
      <c r="J32" s="157">
        <v>228.46</v>
      </c>
      <c r="K32" s="157">
        <v>228.46</v>
      </c>
      <c r="L32" s="157">
        <v>228.46</v>
      </c>
      <c r="M32" s="157">
        <v>228.46</v>
      </c>
      <c r="N32" s="157">
        <v>228.46</v>
      </c>
      <c r="O32" s="158">
        <f>SUM(C32:N32)</f>
        <v>2741.52</v>
      </c>
      <c r="P32" s="157">
        <v>228.46</v>
      </c>
      <c r="Q32" s="124">
        <v>12</v>
      </c>
      <c r="R32" s="157">
        <f>Q32*P32</f>
        <v>2741.52</v>
      </c>
      <c r="S32" s="124">
        <f>R32-O32</f>
        <v>0</v>
      </c>
    </row>
    <row r="33" spans="1:19" s="170" customFormat="1" ht="12.75">
      <c r="A33" s="165" t="s">
        <v>358</v>
      </c>
      <c r="B33" s="166" t="s">
        <v>359</v>
      </c>
      <c r="C33" s="167"/>
      <c r="D33" s="167"/>
      <c r="E33" s="167">
        <v>162.99</v>
      </c>
      <c r="F33" s="167"/>
      <c r="G33" s="167">
        <v>325.98</v>
      </c>
      <c r="H33" s="167">
        <v>162.99</v>
      </c>
      <c r="I33" s="167">
        <f>162.99+162.99</f>
        <v>325.98</v>
      </c>
      <c r="J33" s="167">
        <v>162.99</v>
      </c>
      <c r="K33" s="167">
        <v>162.99</v>
      </c>
      <c r="L33" s="167">
        <v>162.99</v>
      </c>
      <c r="M33" s="167">
        <v>162.99</v>
      </c>
      <c r="N33" s="167">
        <v>54.33</v>
      </c>
      <c r="O33" s="168">
        <f>SUM(C33:N33)</f>
        <v>1684.23</v>
      </c>
      <c r="P33" s="167">
        <v>162.99</v>
      </c>
      <c r="Q33" s="169">
        <f>11+10/31</f>
        <v>11.32258064516129</v>
      </c>
      <c r="R33" s="167">
        <f>Q33*P33</f>
        <v>1845.4674193548387</v>
      </c>
      <c r="S33" s="124">
        <f>R33-O33</f>
        <v>161.23741935483872</v>
      </c>
    </row>
    <row r="34" spans="1:19" s="170" customFormat="1" ht="12.75">
      <c r="A34" s="165" t="s">
        <v>358</v>
      </c>
      <c r="B34" s="166" t="s">
        <v>360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>
        <v>108.66</v>
      </c>
      <c r="O34" s="168">
        <f>SUM(C34:N34)</f>
        <v>108.66</v>
      </c>
      <c r="P34" s="167">
        <v>162.99</v>
      </c>
      <c r="Q34" s="169">
        <f>20/31</f>
        <v>0.6451612903225806</v>
      </c>
      <c r="R34" s="167">
        <f>Q34*P34</f>
        <v>105.15483870967742</v>
      </c>
      <c r="S34" s="124">
        <f>R34-O34</f>
        <v>-3.505161290322576</v>
      </c>
    </row>
    <row r="35" spans="1:19" ht="12.75">
      <c r="A35" s="155" t="s">
        <v>361</v>
      </c>
      <c r="B35" s="156" t="s">
        <v>362</v>
      </c>
      <c r="C35" s="157"/>
      <c r="D35" s="157">
        <v>237.13</v>
      </c>
      <c r="E35" s="157">
        <v>237.13</v>
      </c>
      <c r="F35" s="157"/>
      <c r="G35" s="157">
        <v>474.26</v>
      </c>
      <c r="H35" s="157">
        <v>237.13</v>
      </c>
      <c r="I35" s="157">
        <f>237.13+237.13</f>
        <v>474.26</v>
      </c>
      <c r="J35" s="157">
        <v>237.13</v>
      </c>
      <c r="K35" s="157">
        <v>237.13</v>
      </c>
      <c r="L35" s="157">
        <v>237.13</v>
      </c>
      <c r="M35" s="157">
        <v>237.13</v>
      </c>
      <c r="N35" s="157">
        <v>237.13</v>
      </c>
      <c r="O35" s="158">
        <f>SUM(C35:N35)</f>
        <v>2845.5600000000004</v>
      </c>
      <c r="P35" s="157">
        <v>237.13</v>
      </c>
      <c r="Q35" s="124">
        <v>12</v>
      </c>
      <c r="R35" s="157">
        <f>Q35*P35</f>
        <v>2845.56</v>
      </c>
      <c r="S35" s="124">
        <f>R35-O35</f>
        <v>0</v>
      </c>
    </row>
    <row r="36" spans="1:19" ht="12.75">
      <c r="A36" s="155" t="s">
        <v>363</v>
      </c>
      <c r="B36" s="156" t="s">
        <v>364</v>
      </c>
      <c r="C36" s="157"/>
      <c r="D36" s="157">
        <v>155.63</v>
      </c>
      <c r="E36" s="157">
        <v>155.63</v>
      </c>
      <c r="F36" s="157"/>
      <c r="G36" s="157">
        <v>311.26</v>
      </c>
      <c r="H36" s="157">
        <v>155.63</v>
      </c>
      <c r="I36" s="157">
        <f>155.63+155.63</f>
        <v>311.26</v>
      </c>
      <c r="J36" s="157">
        <v>155.63</v>
      </c>
      <c r="K36" s="157">
        <v>155.63</v>
      </c>
      <c r="L36" s="157">
        <v>155.63</v>
      </c>
      <c r="M36" s="157">
        <v>155.63</v>
      </c>
      <c r="N36" s="157">
        <v>155.63</v>
      </c>
      <c r="O36" s="158">
        <f>SUM(C36:N36)</f>
        <v>1867.5600000000004</v>
      </c>
      <c r="P36" s="157">
        <v>155.63</v>
      </c>
      <c r="Q36" s="124">
        <v>12</v>
      </c>
      <c r="R36" s="157">
        <f>Q36*P36</f>
        <v>1867.56</v>
      </c>
      <c r="S36" s="124">
        <f>R36-O36</f>
        <v>0</v>
      </c>
    </row>
    <row r="37" spans="1:19" ht="12.75">
      <c r="A37" s="155" t="s">
        <v>365</v>
      </c>
      <c r="B37" s="156" t="s">
        <v>366</v>
      </c>
      <c r="C37" s="157"/>
      <c r="D37" s="157">
        <v>228.04</v>
      </c>
      <c r="E37" s="157">
        <f>D37</f>
        <v>228.04</v>
      </c>
      <c r="F37" s="157"/>
      <c r="G37" s="157">
        <v>456.08</v>
      </c>
      <c r="H37" s="157">
        <v>228.04</v>
      </c>
      <c r="I37" s="157">
        <f>288.04+288.04</f>
        <v>576.08</v>
      </c>
      <c r="J37" s="157">
        <v>288.04</v>
      </c>
      <c r="K37" s="157">
        <v>288.04</v>
      </c>
      <c r="L37" s="157">
        <v>288.04</v>
      </c>
      <c r="M37" s="157">
        <v>288.04</v>
      </c>
      <c r="N37" s="157">
        <v>288.04</v>
      </c>
      <c r="O37" s="158">
        <f>SUM(C37:N37)</f>
        <v>3156.48</v>
      </c>
      <c r="P37" s="157">
        <v>228.04</v>
      </c>
      <c r="Q37" s="124">
        <v>12</v>
      </c>
      <c r="R37" s="157">
        <f>Q37*P37</f>
        <v>2736.48</v>
      </c>
      <c r="S37" s="124">
        <f>R37-O37</f>
        <v>-420</v>
      </c>
    </row>
    <row r="38" spans="1:19" s="178" customFormat="1" ht="12.75">
      <c r="A38" s="174"/>
      <c r="B38" s="174" t="s">
        <v>367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>
        <f>SUM(O2:O37)</f>
        <v>64354.84000000001</v>
      </c>
      <c r="P38" s="175"/>
      <c r="Q38" s="176"/>
      <c r="R38" s="175">
        <f>SUM(R2:R37)</f>
        <v>64094.30225806452</v>
      </c>
      <c r="S38" s="177">
        <f>R38-O38</f>
        <v>-260.5377419354918</v>
      </c>
    </row>
    <row r="39" spans="1:19" s="47" customFormat="1" ht="12.75">
      <c r="A39" s="179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1"/>
      <c r="R39" s="180"/>
      <c r="S39" s="181"/>
    </row>
    <row r="40" spans="1:19" ht="12.75">
      <c r="A40" s="155" t="s">
        <v>368</v>
      </c>
      <c r="B40" s="155" t="s">
        <v>369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>
        <v>9955.78</v>
      </c>
      <c r="M40" s="157"/>
      <c r="N40" s="157"/>
      <c r="O40" s="158">
        <f>SUM(C40:N40)</f>
        <v>9955.78</v>
      </c>
      <c r="P40" s="157"/>
      <c r="Q40" s="124">
        <v>1</v>
      </c>
      <c r="R40" s="157">
        <f>O40+1531.61</f>
        <v>11487.390000000001</v>
      </c>
      <c r="S40" s="177">
        <f>R40-O40</f>
        <v>1531.6100000000006</v>
      </c>
    </row>
    <row r="42" spans="4:18" ht="12.75">
      <c r="D42" s="182" t="s">
        <v>370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4"/>
      <c r="P42" s="183"/>
      <c r="Q42" s="185"/>
      <c r="R42" s="183"/>
    </row>
  </sheetData>
  <sheetProtection selectLockedCells="1" selectUnlockedCells="1"/>
  <printOptions/>
  <pageMargins left="0.13819444444444445" right="0.06875" top="0.45763888888888893" bottom="0.3597222222222222" header="0.19236111111111112" footer="0.09444444444444444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82" zoomScaleNormal="110" zoomScaleSheetLayoutView="82" workbookViewId="0" topLeftCell="A1">
      <selection activeCell="J37" sqref="J37"/>
    </sheetView>
  </sheetViews>
  <sheetFormatPr defaultColWidth="12.57421875" defaultRowHeight="12.75"/>
  <cols>
    <col min="1" max="1" width="8.28125" style="0" customWidth="1"/>
    <col min="2" max="2" width="15.57421875" style="0" customWidth="1"/>
    <col min="3" max="4" width="7.7109375" style="0" customWidth="1"/>
    <col min="5" max="5" width="8.28125" style="0" customWidth="1"/>
    <col min="6" max="6" width="7.7109375" style="0" customWidth="1"/>
    <col min="7" max="7" width="9.00390625" style="0" customWidth="1"/>
    <col min="8" max="8" width="4.57421875" style="0" customWidth="1"/>
    <col min="9" max="9" width="9.57421875" style="0" customWidth="1"/>
    <col min="10" max="10" width="9.140625" style="0" customWidth="1"/>
    <col min="11" max="12" width="7.7109375" style="0" customWidth="1"/>
    <col min="13" max="13" width="27.7109375" style="0" customWidth="1"/>
    <col min="14" max="14" width="17.8515625" style="0" customWidth="1"/>
    <col min="15" max="16384" width="11.57421875" style="0" customWidth="1"/>
  </cols>
  <sheetData>
    <row r="1" spans="1:12" s="154" customFormat="1" ht="45.75">
      <c r="A1" s="149"/>
      <c r="B1" s="150">
        <v>2010</v>
      </c>
      <c r="C1" s="154" t="s">
        <v>371</v>
      </c>
      <c r="D1" s="154" t="s">
        <v>372</v>
      </c>
      <c r="E1" s="154" t="s">
        <v>373</v>
      </c>
      <c r="F1" s="154" t="s">
        <v>374</v>
      </c>
      <c r="G1" s="186" t="s">
        <v>293</v>
      </c>
      <c r="I1" s="154" t="s">
        <v>375</v>
      </c>
      <c r="J1" s="154" t="s">
        <v>376</v>
      </c>
      <c r="K1" s="186" t="s">
        <v>296</v>
      </c>
      <c r="L1" s="154" t="s">
        <v>377</v>
      </c>
    </row>
    <row r="2" spans="1:13" ht="12.75">
      <c r="A2" s="155" t="s">
        <v>300</v>
      </c>
      <c r="B2" s="155" t="s">
        <v>301</v>
      </c>
      <c r="C2" s="124">
        <v>-156.25</v>
      </c>
      <c r="D2" s="124">
        <v>-52.86</v>
      </c>
      <c r="E2" s="124">
        <f>-52.68-52.68</f>
        <v>-105.36</v>
      </c>
      <c r="F2" s="124">
        <v>-52.68</v>
      </c>
      <c r="G2" s="187">
        <f>SUM(C2:F2)</f>
        <v>-367.15</v>
      </c>
      <c r="H2" s="124"/>
      <c r="I2" s="124">
        <v>2539.32</v>
      </c>
      <c r="J2" s="124">
        <v>-2750</v>
      </c>
      <c r="K2" s="187">
        <f>I2+J2</f>
        <v>-210.67999999999984</v>
      </c>
      <c r="L2" s="124">
        <f>G2-K2</f>
        <v>-156.47000000000014</v>
      </c>
      <c r="M2" s="124"/>
    </row>
    <row r="3" spans="1:13" ht="12.75">
      <c r="A3" s="155" t="s">
        <v>304</v>
      </c>
      <c r="B3" s="155" t="s">
        <v>305</v>
      </c>
      <c r="C3" s="124">
        <v>-208.33</v>
      </c>
      <c r="D3" s="124">
        <v>-180.69</v>
      </c>
      <c r="E3" s="124">
        <f>-180.69-180.69</f>
        <v>-361.38</v>
      </c>
      <c r="F3" s="124">
        <v>-180.69</v>
      </c>
      <c r="G3" s="187">
        <f>SUM(C3:F3)</f>
        <v>-931.09</v>
      </c>
      <c r="H3" s="124"/>
      <c r="I3" s="124">
        <v>2943.96</v>
      </c>
      <c r="J3" s="124">
        <f>J15</f>
        <v>-3666.66</v>
      </c>
      <c r="K3" s="187">
        <f>I3+J3</f>
        <v>-722.6999999999998</v>
      </c>
      <c r="L3" s="124">
        <f>G3-K3</f>
        <v>-208.3900000000002</v>
      </c>
      <c r="M3" s="124"/>
    </row>
    <row r="4" spans="1:13" ht="12.75">
      <c r="A4" s="155" t="s">
        <v>311</v>
      </c>
      <c r="B4" s="155" t="s">
        <v>312</v>
      </c>
      <c r="C4" s="124">
        <v>-156.25</v>
      </c>
      <c r="D4" s="124">
        <v>-190.58</v>
      </c>
      <c r="E4" s="124">
        <f>-190.58-190.58</f>
        <v>-381.16</v>
      </c>
      <c r="F4" s="124">
        <v>-190.58</v>
      </c>
      <c r="G4" s="187">
        <f>SUM(C4:F4)</f>
        <v>-918.57</v>
      </c>
      <c r="H4" s="124"/>
      <c r="I4" s="124">
        <v>1987.68</v>
      </c>
      <c r="J4" s="124">
        <v>-2750</v>
      </c>
      <c r="K4" s="187">
        <f>I4+J4</f>
        <v>-762.3199999999999</v>
      </c>
      <c r="L4" s="124">
        <f>G4-K4</f>
        <v>-156.2500000000001</v>
      </c>
      <c r="M4" s="124"/>
    </row>
    <row r="5" spans="1:13" ht="12.75">
      <c r="A5" s="155" t="s">
        <v>329</v>
      </c>
      <c r="B5" s="155" t="s">
        <v>330</v>
      </c>
      <c r="C5" s="124">
        <v>-208.33</v>
      </c>
      <c r="D5" s="124">
        <v>-503.36</v>
      </c>
      <c r="E5" s="124">
        <f>-503.36-503.36</f>
        <v>-1006.72</v>
      </c>
      <c r="F5" s="124">
        <v>-503.36</v>
      </c>
      <c r="G5" s="187">
        <f>SUM(C5:F5)</f>
        <v>-2221.77</v>
      </c>
      <c r="H5" s="124"/>
      <c r="I5" s="124">
        <v>1653.24</v>
      </c>
      <c r="J5" s="124">
        <f>J15</f>
        <v>-3666.66</v>
      </c>
      <c r="K5" s="187">
        <f>I5+J5</f>
        <v>-2013.4199999999998</v>
      </c>
      <c r="L5" s="124">
        <f>G5-K5</f>
        <v>-208.35000000000014</v>
      </c>
      <c r="M5" s="124"/>
    </row>
    <row r="6" spans="1:13" ht="12.75">
      <c r="A6" s="155" t="s">
        <v>348</v>
      </c>
      <c r="B6" s="155" t="s">
        <v>378</v>
      </c>
      <c r="C6" s="124">
        <v>-156.25</v>
      </c>
      <c r="D6" s="124">
        <v>-29.09</v>
      </c>
      <c r="E6" s="124">
        <f>-29.09-29.09</f>
        <v>-58.18</v>
      </c>
      <c r="F6" s="124">
        <v>-29.09</v>
      </c>
      <c r="G6" s="187">
        <f>SUM(C6:F6)</f>
        <v>-272.61</v>
      </c>
      <c r="H6" s="124"/>
      <c r="I6" s="124">
        <v>2633.64</v>
      </c>
      <c r="J6" s="124">
        <v>-2750</v>
      </c>
      <c r="K6" s="187">
        <f>I6+J6</f>
        <v>-116.36000000000013</v>
      </c>
      <c r="L6" s="124">
        <f>G6-K6</f>
        <v>-156.2499999999999</v>
      </c>
      <c r="M6" s="124"/>
    </row>
    <row r="7" spans="1:13" ht="12.75">
      <c r="A7" s="155" t="s">
        <v>352</v>
      </c>
      <c r="B7" s="155" t="s">
        <v>353</v>
      </c>
      <c r="C7" s="124">
        <v>-208.33</v>
      </c>
      <c r="D7" s="124">
        <v>-384.87</v>
      </c>
      <c r="E7" s="124">
        <f>-384.87-384.87</f>
        <v>-769.74</v>
      </c>
      <c r="F7" s="124">
        <v>-384.87</v>
      </c>
      <c r="G7" s="187">
        <f>SUM(C7:F7)</f>
        <v>-1747.81</v>
      </c>
      <c r="H7" s="124"/>
      <c r="I7" s="124">
        <v>2127.24</v>
      </c>
      <c r="J7" s="124">
        <f>J15</f>
        <v>-3666.66</v>
      </c>
      <c r="K7" s="187">
        <f>I7+J7</f>
        <v>-1539.42</v>
      </c>
      <c r="L7" s="124">
        <f>G7-K7</f>
        <v>-208.38999999999987</v>
      </c>
      <c r="M7" s="124"/>
    </row>
    <row r="8" spans="2:9" ht="12.75">
      <c r="B8" s="28"/>
      <c r="I8" s="5">
        <f>SUM(I2:I7)</f>
        <v>13885.08</v>
      </c>
    </row>
    <row r="9" spans="2:13" ht="12.75">
      <c r="B9" s="188" t="s">
        <v>379</v>
      </c>
      <c r="C9" s="185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ht="12.75">
      <c r="B10" s="28"/>
    </row>
    <row r="11" spans="2:3" ht="12.75">
      <c r="B11" s="28"/>
      <c r="C11" t="s">
        <v>380</v>
      </c>
    </row>
    <row r="12" ht="12.75">
      <c r="B12" s="28"/>
    </row>
    <row r="13" ht="12.75">
      <c r="B13" s="28"/>
    </row>
    <row r="14" spans="1:12" ht="12.75">
      <c r="A14" s="189" t="s">
        <v>381</v>
      </c>
      <c r="B14" s="190" t="s">
        <v>382</v>
      </c>
      <c r="C14" s="189">
        <v>-260.42</v>
      </c>
      <c r="D14" s="189">
        <v>-1145.82</v>
      </c>
      <c r="E14" s="189">
        <f>-1145.82-1145.82</f>
        <v>-2291.64</v>
      </c>
      <c r="F14" s="189">
        <v>-1145.82</v>
      </c>
      <c r="G14" s="187">
        <f>SUM(C14:F14)</f>
        <v>-4843.7</v>
      </c>
      <c r="H14" s="189"/>
      <c r="I14" s="189" t="s">
        <v>383</v>
      </c>
      <c r="J14" s="189">
        <f>-4166.67+-416.67</f>
        <v>-4583.34</v>
      </c>
      <c r="K14" s="189"/>
      <c r="L14" s="189">
        <f>G14-J14</f>
        <v>-260.3599999999997</v>
      </c>
    </row>
    <row r="15" spans="1:12" ht="12.75">
      <c r="A15" s="189" t="s">
        <v>384</v>
      </c>
      <c r="B15" s="190" t="s">
        <v>385</v>
      </c>
      <c r="C15" s="189">
        <v>-208.33</v>
      </c>
      <c r="D15" s="189">
        <v>-916.68</v>
      </c>
      <c r="E15" s="189">
        <f>-916.68-916.68</f>
        <v>-1833.36</v>
      </c>
      <c r="F15" s="189">
        <v>-916.68</v>
      </c>
      <c r="G15" s="187">
        <f>SUM(C15:F15)</f>
        <v>-3875.0499999999997</v>
      </c>
      <c r="H15" s="189"/>
      <c r="I15" s="189" t="s">
        <v>383</v>
      </c>
      <c r="J15" s="189">
        <f>-3333.33+-333.33</f>
        <v>-3666.66</v>
      </c>
      <c r="K15" s="189"/>
      <c r="L15" s="189">
        <f>G15-J15</f>
        <v>-208.38999999999987</v>
      </c>
    </row>
    <row r="16" spans="1:12" ht="12.75">
      <c r="A16" s="189" t="s">
        <v>386</v>
      </c>
      <c r="B16" s="190" t="s">
        <v>387</v>
      </c>
      <c r="C16" s="189">
        <v>-260.42</v>
      </c>
      <c r="D16" s="189">
        <v>-1145.82</v>
      </c>
      <c r="E16" s="189">
        <f>-1145.82-1145.82</f>
        <v>-2291.64</v>
      </c>
      <c r="F16" s="189">
        <v>-1145.82</v>
      </c>
      <c r="G16" s="187">
        <f>SUM(C16:F16)</f>
        <v>-4843.7</v>
      </c>
      <c r="H16" s="189"/>
      <c r="I16" s="189" t="s">
        <v>383</v>
      </c>
      <c r="J16" s="189">
        <f>J14</f>
        <v>-4583.34</v>
      </c>
      <c r="K16" s="189"/>
      <c r="L16" s="189">
        <f>G16-J16</f>
        <v>-260.3599999999997</v>
      </c>
    </row>
    <row r="17" spans="1:12" ht="12.75">
      <c r="A17" s="189" t="s">
        <v>388</v>
      </c>
      <c r="B17" s="190" t="s">
        <v>389</v>
      </c>
      <c r="C17" s="189">
        <v>-208.33</v>
      </c>
      <c r="D17" s="189">
        <v>-916.68</v>
      </c>
      <c r="E17" s="189">
        <f>-916.68-916.68</f>
        <v>-1833.36</v>
      </c>
      <c r="F17" s="189">
        <v>-916.68</v>
      </c>
      <c r="G17" s="187">
        <f>SUM(C17:F17)</f>
        <v>-3875.0499999999997</v>
      </c>
      <c r="H17" s="189"/>
      <c r="I17" s="189" t="s">
        <v>383</v>
      </c>
      <c r="J17" s="189">
        <f>J15</f>
        <v>-3666.66</v>
      </c>
      <c r="K17" s="189"/>
      <c r="L17" s="189">
        <f>G17-J17</f>
        <v>-208.38999999999987</v>
      </c>
    </row>
    <row r="18" spans="1:12" ht="12.75">
      <c r="A18" s="189" t="s">
        <v>390</v>
      </c>
      <c r="B18" s="190" t="s">
        <v>391</v>
      </c>
      <c r="C18" s="189">
        <v>-156.25</v>
      </c>
      <c r="D18" s="189">
        <v>-687.51</v>
      </c>
      <c r="E18" s="189">
        <f>-687.51-687.51</f>
        <v>-1375.02</v>
      </c>
      <c r="F18" s="189">
        <v>-687.51</v>
      </c>
      <c r="G18" s="187">
        <f>SUM(C18:F18)</f>
        <v>-2906.29</v>
      </c>
      <c r="H18" s="189"/>
      <c r="I18" s="189" t="s">
        <v>383</v>
      </c>
      <c r="J18" s="189">
        <v>-2750</v>
      </c>
      <c r="K18" s="189"/>
      <c r="L18" s="189">
        <f>G18-J18</f>
        <v>-156.28999999999996</v>
      </c>
    </row>
    <row r="19" spans="1:12" ht="12.75">
      <c r="A19" s="189" t="s">
        <v>392</v>
      </c>
      <c r="B19" s="190" t="s">
        <v>393</v>
      </c>
      <c r="C19" s="189">
        <v>-156.25</v>
      </c>
      <c r="D19" s="189">
        <v>-687.51</v>
      </c>
      <c r="E19" s="189">
        <f>-687.51-687.51</f>
        <v>-1375.02</v>
      </c>
      <c r="F19" s="189">
        <v>-687.51</v>
      </c>
      <c r="G19" s="187">
        <f>SUM(C19:F19)</f>
        <v>-2906.29</v>
      </c>
      <c r="H19" s="189"/>
      <c r="I19" s="189" t="s">
        <v>383</v>
      </c>
      <c r="J19" s="189">
        <v>-2750</v>
      </c>
      <c r="K19" s="189"/>
      <c r="L19" s="189">
        <f>G19-J19</f>
        <v>-156.28999999999996</v>
      </c>
    </row>
    <row r="20" spans="1:12" ht="12.75">
      <c r="A20" s="189" t="s">
        <v>394</v>
      </c>
      <c r="B20" s="190" t="s">
        <v>395</v>
      </c>
      <c r="C20" s="189">
        <v>-208.33</v>
      </c>
      <c r="D20" s="189">
        <v>-916.68</v>
      </c>
      <c r="E20" s="189">
        <f>-916.68-916.68</f>
        <v>-1833.36</v>
      </c>
      <c r="F20" s="189">
        <v>-916.68</v>
      </c>
      <c r="G20" s="187">
        <f>SUM(C20:F20)</f>
        <v>-3875.0499999999997</v>
      </c>
      <c r="H20" s="189"/>
      <c r="I20" s="189" t="s">
        <v>383</v>
      </c>
      <c r="J20" s="189">
        <f>J17</f>
        <v>-3666.66</v>
      </c>
      <c r="K20" s="189"/>
      <c r="L20" s="189">
        <f>G20-J20</f>
        <v>-208.38999999999987</v>
      </c>
    </row>
    <row r="22" spans="2:13" s="5" customFormat="1" ht="34.5">
      <c r="B22" s="5" t="s">
        <v>396</v>
      </c>
      <c r="C22" s="5">
        <f>SUM(C2:C20)</f>
        <v>-2552.0699999999997</v>
      </c>
      <c r="J22" s="5">
        <f>SUM(J2:J20)</f>
        <v>-44916.64</v>
      </c>
      <c r="L22" s="5">
        <f>SUM(L2:L20)</f>
        <v>-2552.5699999999993</v>
      </c>
      <c r="M22" s="191" t="s">
        <v>397</v>
      </c>
    </row>
    <row r="24" spans="3:13" ht="12.75">
      <c r="C24" s="188" t="s">
        <v>398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82" zoomScaleNormal="110" zoomScaleSheetLayoutView="82" workbookViewId="0" topLeftCell="A1">
      <selection activeCell="D23" sqref="D23"/>
    </sheetView>
  </sheetViews>
  <sheetFormatPr defaultColWidth="12.57421875" defaultRowHeight="12.75"/>
  <cols>
    <col min="1" max="1" width="32.7109375" style="0" customWidth="1"/>
    <col min="2" max="2" width="11.57421875" style="39" customWidth="1"/>
    <col min="3" max="3" width="11.57421875" style="192" customWidth="1"/>
    <col min="4" max="4" width="65.421875" style="0" customWidth="1"/>
    <col min="5" max="16384" width="11.57421875" style="0" customWidth="1"/>
  </cols>
  <sheetData>
    <row r="1" spans="1:4" ht="12.75">
      <c r="A1" s="193" t="s">
        <v>399</v>
      </c>
      <c r="B1" s="194" t="s">
        <v>260</v>
      </c>
      <c r="C1" s="195" t="s">
        <v>400</v>
      </c>
      <c r="D1" s="196"/>
    </row>
    <row r="2" spans="1:4" ht="12.75">
      <c r="A2" s="197" t="s">
        <v>401</v>
      </c>
      <c r="B2" s="39">
        <v>2772.48</v>
      </c>
      <c r="C2" s="198">
        <v>40540</v>
      </c>
      <c r="D2" t="s">
        <v>402</v>
      </c>
    </row>
    <row r="3" spans="1:3" ht="12.75">
      <c r="A3" s="197"/>
      <c r="C3" s="198"/>
    </row>
    <row r="4" spans="1:3" ht="12.75">
      <c r="A4" s="193" t="s">
        <v>403</v>
      </c>
      <c r="C4" s="198"/>
    </row>
    <row r="5" spans="1:3" ht="12.75">
      <c r="A5" t="s">
        <v>404</v>
      </c>
      <c r="B5" s="39">
        <v>2553</v>
      </c>
      <c r="C5" s="198"/>
    </row>
    <row r="6" spans="1:4" ht="12.75">
      <c r="A6" s="196"/>
      <c r="B6" s="199"/>
      <c r="C6" s="200"/>
      <c r="D6" s="196"/>
    </row>
    <row r="7" spans="1:4" ht="12.75">
      <c r="A7" s="193" t="s">
        <v>405</v>
      </c>
      <c r="B7" s="199"/>
      <c r="C7" s="200"/>
      <c r="D7" s="196"/>
    </row>
    <row r="8" spans="1:4" ht="12.75">
      <c r="A8" s="201" t="s">
        <v>406</v>
      </c>
      <c r="B8" s="202">
        <v>3563.83</v>
      </c>
      <c r="C8" s="203">
        <v>40542</v>
      </c>
      <c r="D8" s="80" t="s">
        <v>407</v>
      </c>
    </row>
    <row r="9" spans="1:4" ht="12.75">
      <c r="A9" s="201" t="s">
        <v>408</v>
      </c>
      <c r="B9" s="202">
        <v>351.21</v>
      </c>
      <c r="C9" s="203">
        <v>40542</v>
      </c>
      <c r="D9" s="80" t="s">
        <v>407</v>
      </c>
    </row>
    <row r="10" spans="1:4" ht="12.75">
      <c r="A10" s="204" t="s">
        <v>35</v>
      </c>
      <c r="B10" s="205">
        <f>SUM(B8:B9)</f>
        <v>3915.04</v>
      </c>
      <c r="C10" s="206"/>
      <c r="D10" s="207"/>
    </row>
    <row r="11" spans="1:4" ht="12.75">
      <c r="A11" s="196"/>
      <c r="B11" s="199"/>
      <c r="C11" s="195"/>
      <c r="D11" s="196"/>
    </row>
    <row r="12" spans="1:4" ht="12.75">
      <c r="A12" s="193" t="s">
        <v>409</v>
      </c>
      <c r="B12" s="199"/>
      <c r="C12" s="195"/>
      <c r="D12" s="196"/>
    </row>
    <row r="13" spans="1:4" ht="12.75">
      <c r="A13" s="196" t="s">
        <v>410</v>
      </c>
      <c r="B13" s="199">
        <v>466.22</v>
      </c>
      <c r="C13" s="200">
        <v>40547</v>
      </c>
      <c r="D13" s="196" t="s">
        <v>411</v>
      </c>
    </row>
    <row r="15" spans="1:4" ht="12.75">
      <c r="A15" s="193" t="s">
        <v>412</v>
      </c>
      <c r="B15" s="199"/>
      <c r="C15" s="195"/>
      <c r="D15" s="196"/>
    </row>
    <row r="16" spans="1:3" ht="12.75">
      <c r="A16" s="197" t="s">
        <v>413</v>
      </c>
      <c r="B16" s="39">
        <v>2.17</v>
      </c>
      <c r="C16" s="198" t="s">
        <v>414</v>
      </c>
    </row>
    <row r="17" spans="1:4" ht="12.75">
      <c r="A17" s="197" t="s">
        <v>415</v>
      </c>
      <c r="B17" s="39">
        <v>162.99</v>
      </c>
      <c r="C17" s="198" t="s">
        <v>414</v>
      </c>
      <c r="D17" t="s">
        <v>416</v>
      </c>
    </row>
    <row r="18" spans="1:4" ht="12.75">
      <c r="A18" s="197" t="s">
        <v>417</v>
      </c>
      <c r="B18" s="39">
        <v>399.99</v>
      </c>
      <c r="C18" s="198"/>
      <c r="D18" t="s">
        <v>418</v>
      </c>
    </row>
    <row r="19" spans="1:3" ht="12.75">
      <c r="A19" s="197" t="s">
        <v>419</v>
      </c>
      <c r="B19" s="39">
        <f>892.5/2</f>
        <v>446.25</v>
      </c>
      <c r="C19" s="198" t="s">
        <v>414</v>
      </c>
    </row>
    <row r="20" spans="1:3" ht="12.75">
      <c r="A20" s="197" t="s">
        <v>420</v>
      </c>
      <c r="B20" s="39">
        <f>666.4*0.5</f>
        <v>333.2</v>
      </c>
      <c r="C20" s="198" t="s">
        <v>414</v>
      </c>
    </row>
    <row r="21" spans="1:3" ht="12.75">
      <c r="A21" s="197" t="s">
        <v>421</v>
      </c>
      <c r="B21" s="39">
        <v>1531.61</v>
      </c>
      <c r="C21" s="198"/>
    </row>
    <row r="22" spans="1:4" s="209" customFormat="1" ht="12.75">
      <c r="A22" s="193" t="s">
        <v>35</v>
      </c>
      <c r="B22" s="208">
        <f>SUM(B16:B21)</f>
        <v>2876.21</v>
      </c>
      <c r="C22" s="200"/>
      <c r="D22" s="196"/>
    </row>
    <row r="24" spans="1:4" ht="12.75">
      <c r="A24" s="193" t="s">
        <v>422</v>
      </c>
      <c r="B24" s="199"/>
      <c r="C24" s="195"/>
      <c r="D24" s="196"/>
    </row>
    <row r="25" spans="1:3" ht="12.75">
      <c r="A25" s="197" t="s">
        <v>423</v>
      </c>
      <c r="B25" s="39">
        <v>420</v>
      </c>
      <c r="C25" s="198" t="s">
        <v>414</v>
      </c>
    </row>
    <row r="26" spans="1:3" ht="12.75">
      <c r="A26" s="197" t="s">
        <v>424</v>
      </c>
      <c r="B26" s="39">
        <v>3.51</v>
      </c>
      <c r="C26" s="198" t="s">
        <v>414</v>
      </c>
    </row>
    <row r="27" spans="1:4" ht="12.75">
      <c r="A27" s="193" t="s">
        <v>425</v>
      </c>
      <c r="B27" s="208">
        <f>SUM(B25:B26)</f>
        <v>423.51</v>
      </c>
      <c r="C27" s="195"/>
      <c r="D27" s="196"/>
    </row>
    <row r="29" spans="1:4" ht="12.75">
      <c r="A29" s="193" t="s">
        <v>426</v>
      </c>
      <c r="B29" s="199"/>
      <c r="C29" s="195"/>
      <c r="D29" s="196"/>
    </row>
    <row r="30" spans="1:3" ht="12.75">
      <c r="A30" s="197" t="s">
        <v>393</v>
      </c>
      <c r="B30" s="39">
        <v>6.48</v>
      </c>
      <c r="C30" s="198">
        <v>40213</v>
      </c>
    </row>
    <row r="31" spans="1:3" ht="12.75">
      <c r="A31" s="197" t="s">
        <v>309</v>
      </c>
      <c r="B31" s="39">
        <v>219.96</v>
      </c>
      <c r="C31" s="198">
        <v>43868</v>
      </c>
    </row>
    <row r="32" spans="1:4" ht="12.75">
      <c r="A32" s="193" t="s">
        <v>35</v>
      </c>
      <c r="B32" s="208">
        <f>SUM(B30:B31)</f>
        <v>226.44</v>
      </c>
      <c r="C32" s="195"/>
      <c r="D32" s="19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2" zoomScaleNormal="110" zoomScaleSheetLayoutView="82" workbookViewId="0" topLeftCell="A25">
      <selection activeCell="H15" sqref="H15"/>
    </sheetView>
  </sheetViews>
  <sheetFormatPr defaultColWidth="9.140625" defaultRowHeight="12.75"/>
  <cols>
    <col min="2" max="2" width="9.140625" style="210" customWidth="1"/>
    <col min="3" max="3" width="12.28125" style="211" customWidth="1"/>
    <col min="4" max="4" width="9.00390625" style="211" customWidth="1"/>
    <col min="5" max="5" width="14.57421875" style="39" customWidth="1"/>
    <col min="6" max="6" width="12.7109375" style="212" customWidth="1"/>
    <col min="7" max="7" width="5.140625" style="0" customWidth="1"/>
    <col min="8" max="8" width="13.140625" style="0" customWidth="1"/>
  </cols>
  <sheetData>
    <row r="1" spans="2:6" s="28" customFormat="1" ht="12.75">
      <c r="B1" s="213" t="s">
        <v>427</v>
      </c>
      <c r="C1" s="214"/>
      <c r="D1" s="214"/>
      <c r="E1" s="215"/>
      <c r="F1" s="134">
        <v>2010</v>
      </c>
    </row>
    <row r="2" ht="12.75">
      <c r="F2"/>
    </row>
    <row r="3" spans="2:11" s="134" customFormat="1" ht="12.75">
      <c r="B3" s="213" t="s">
        <v>84</v>
      </c>
      <c r="C3" s="216" t="s">
        <v>86</v>
      </c>
      <c r="D3" s="216"/>
      <c r="E3" s="217" t="s">
        <v>428</v>
      </c>
      <c r="F3" s="134" t="s">
        <v>429</v>
      </c>
      <c r="H3" s="189" t="s">
        <v>430</v>
      </c>
      <c r="I3" s="218" t="s">
        <v>431</v>
      </c>
      <c r="J3" s="218" t="s">
        <v>432</v>
      </c>
      <c r="K3" s="218" t="s">
        <v>433</v>
      </c>
    </row>
    <row r="4" spans="2:11" ht="12.75">
      <c r="B4" s="219">
        <v>40179</v>
      </c>
      <c r="C4" s="220">
        <v>185.81</v>
      </c>
      <c r="E4" s="221">
        <v>48044.64</v>
      </c>
      <c r="F4" s="134"/>
      <c r="H4" s="189" t="s">
        <v>434</v>
      </c>
      <c r="I4" s="218">
        <v>48044.64</v>
      </c>
      <c r="J4" s="218">
        <v>7000</v>
      </c>
      <c r="K4" s="218">
        <f>I4-J4</f>
        <v>41044.64</v>
      </c>
    </row>
    <row r="5" spans="2:11" ht="12.75">
      <c r="B5" s="219">
        <v>40575</v>
      </c>
      <c r="C5" s="220">
        <v>85.69</v>
      </c>
      <c r="E5" s="221">
        <v>48130.33</v>
      </c>
      <c r="F5" s="134"/>
      <c r="H5" s="189" t="s">
        <v>435</v>
      </c>
      <c r="I5" s="218">
        <v>13926.23</v>
      </c>
      <c r="J5" s="218">
        <v>4791.36</v>
      </c>
      <c r="K5" s="218">
        <f>I5-J5</f>
        <v>9134.869999999999</v>
      </c>
    </row>
    <row r="6" spans="2:11" ht="12.75">
      <c r="B6" s="219">
        <v>40603</v>
      </c>
      <c r="C6" s="220">
        <v>77.54</v>
      </c>
      <c r="E6" s="221">
        <v>48207.87</v>
      </c>
      <c r="F6" s="134"/>
      <c r="H6" s="189" t="s">
        <v>436</v>
      </c>
      <c r="I6" s="218"/>
      <c r="J6" s="218">
        <v>2884.03</v>
      </c>
      <c r="K6" s="218"/>
    </row>
    <row r="7" spans="2:6" ht="12.75">
      <c r="B7" s="219">
        <v>40634</v>
      </c>
      <c r="C7" s="220">
        <v>85.98</v>
      </c>
      <c r="E7" s="221">
        <v>48293.85</v>
      </c>
      <c r="F7" s="134"/>
    </row>
    <row r="8" spans="2:6" ht="12.75">
      <c r="B8" s="219">
        <v>40664</v>
      </c>
      <c r="C8" s="220">
        <v>75.42</v>
      </c>
      <c r="E8" s="221">
        <v>38369.27</v>
      </c>
      <c r="F8" s="134"/>
    </row>
    <row r="9" spans="2:9" ht="12.75">
      <c r="B9" s="219">
        <v>40695</v>
      </c>
      <c r="C9" s="220">
        <v>47.55</v>
      </c>
      <c r="E9" s="221">
        <v>23416.82</v>
      </c>
      <c r="F9" s="134"/>
      <c r="H9" s="222" t="s">
        <v>437</v>
      </c>
      <c r="I9" s="223"/>
    </row>
    <row r="10" spans="2:9" ht="12.75">
      <c r="B10" s="219">
        <v>40725</v>
      </c>
      <c r="C10" s="220">
        <v>23.3</v>
      </c>
      <c r="E10" s="221">
        <v>8440.12</v>
      </c>
      <c r="F10" s="134"/>
      <c r="H10" s="224" t="s">
        <v>438</v>
      </c>
      <c r="I10" s="223"/>
    </row>
    <row r="11" spans="2:10" s="29" customFormat="1" ht="12.75">
      <c r="B11" s="225">
        <v>40756</v>
      </c>
      <c r="C11" s="226">
        <v>0</v>
      </c>
      <c r="D11" s="227"/>
      <c r="E11" s="228" t="s">
        <v>439</v>
      </c>
      <c r="F11" s="46" t="s">
        <v>440</v>
      </c>
      <c r="H11" s="224" t="s">
        <v>441</v>
      </c>
      <c r="I11" s="223"/>
      <c r="J11"/>
    </row>
    <row r="12" spans="2:10" s="29" customFormat="1" ht="12.75">
      <c r="B12" s="225" t="s">
        <v>442</v>
      </c>
      <c r="C12" s="226">
        <v>0</v>
      </c>
      <c r="D12" s="227"/>
      <c r="E12" s="228">
        <v>440.12</v>
      </c>
      <c r="F12" s="46" t="s">
        <v>440</v>
      </c>
      <c r="H12" s="224" t="s">
        <v>443</v>
      </c>
      <c r="I12" s="223"/>
      <c r="J12"/>
    </row>
    <row r="13" spans="2:10" s="29" customFormat="1" ht="12.75">
      <c r="B13" s="225">
        <v>40817</v>
      </c>
      <c r="C13" s="226">
        <v>10.75</v>
      </c>
      <c r="D13" s="227"/>
      <c r="E13" s="228">
        <v>450.87</v>
      </c>
      <c r="F13" s="46" t="s">
        <v>440</v>
      </c>
      <c r="H13" s="224" t="s">
        <v>444</v>
      </c>
      <c r="I13" s="223"/>
      <c r="J13"/>
    </row>
    <row r="14" spans="2:10" s="29" customFormat="1" ht="12.75">
      <c r="B14" s="225">
        <v>40848</v>
      </c>
      <c r="C14" s="226">
        <v>0</v>
      </c>
      <c r="D14" s="227"/>
      <c r="E14" s="228">
        <v>13000</v>
      </c>
      <c r="F14" s="46" t="s">
        <v>440</v>
      </c>
      <c r="H14" s="222"/>
      <c r="I14" s="223"/>
      <c r="J14"/>
    </row>
    <row r="15" spans="2:10" s="29" customFormat="1" ht="12.75">
      <c r="B15" s="225">
        <v>40888</v>
      </c>
      <c r="C15" s="226" t="s">
        <v>445</v>
      </c>
      <c r="D15" s="227"/>
      <c r="E15" s="228">
        <v>13000</v>
      </c>
      <c r="F15" s="46" t="s">
        <v>440</v>
      </c>
      <c r="H15" s="222"/>
      <c r="I15" s="223"/>
      <c r="J15"/>
    </row>
    <row r="16" spans="5:9" ht="12.75">
      <c r="E16" s="221"/>
      <c r="F16" s="229"/>
      <c r="H16" s="224" t="s">
        <v>446</v>
      </c>
      <c r="I16" s="223"/>
    </row>
    <row r="17" spans="2:9" ht="12.75">
      <c r="B17" s="219" t="s">
        <v>83</v>
      </c>
      <c r="C17" s="230">
        <f>SUM(C4:C15)</f>
        <v>592.0400000000001</v>
      </c>
      <c r="E17" s="231">
        <f>SUM(E4:E16)</f>
        <v>289793.89</v>
      </c>
      <c r="F17" s="232"/>
      <c r="H17" s="224" t="s">
        <v>447</v>
      </c>
      <c r="I17" s="223"/>
    </row>
    <row r="20" spans="1:6" s="5" customFormat="1" ht="12.75">
      <c r="A20" s="5" t="s">
        <v>448</v>
      </c>
      <c r="B20" s="233"/>
      <c r="C20" s="234"/>
      <c r="D20" s="234"/>
      <c r="E20" s="148"/>
      <c r="F20" s="235"/>
    </row>
    <row r="21" spans="2:4" ht="12.75">
      <c r="B21" s="236" t="s">
        <v>400</v>
      </c>
      <c r="C21" s="237" t="s">
        <v>449</v>
      </c>
      <c r="D21" s="238" t="s">
        <v>450</v>
      </c>
    </row>
    <row r="22" spans="2:4" ht="12.75">
      <c r="B22" s="236">
        <v>40179</v>
      </c>
      <c r="C22" s="237">
        <v>27.46</v>
      </c>
      <c r="D22" s="238"/>
    </row>
    <row r="23" spans="2:4" ht="12.75">
      <c r="B23" s="236">
        <v>40183</v>
      </c>
      <c r="C23" s="237"/>
      <c r="D23" s="238">
        <v>5</v>
      </c>
    </row>
    <row r="24" spans="2:4" ht="12.75">
      <c r="B24" s="236">
        <v>40183</v>
      </c>
      <c r="C24" s="238"/>
      <c r="D24" s="238">
        <v>7.54</v>
      </c>
    </row>
    <row r="25" spans="2:4" ht="12.75">
      <c r="B25" s="236">
        <v>40575</v>
      </c>
      <c r="C25" s="238"/>
      <c r="D25" s="238">
        <v>6</v>
      </c>
    </row>
    <row r="26" spans="2:4" ht="12.75">
      <c r="B26" s="236">
        <v>40603</v>
      </c>
      <c r="C26" s="238"/>
      <c r="D26" s="238">
        <v>6</v>
      </c>
    </row>
    <row r="27" spans="2:4" ht="12.75">
      <c r="B27" s="236">
        <v>40634</v>
      </c>
      <c r="C27" s="238"/>
      <c r="D27" s="238">
        <v>6</v>
      </c>
    </row>
    <row r="28" spans="2:4" ht="12.75">
      <c r="B28" s="236">
        <v>40634</v>
      </c>
      <c r="C28" s="238">
        <v>5.11</v>
      </c>
      <c r="D28" s="238"/>
    </row>
    <row r="29" spans="2:4" ht="12.75">
      <c r="B29" s="236">
        <v>40635</v>
      </c>
      <c r="C29" s="238"/>
      <c r="D29" s="238">
        <v>18.5</v>
      </c>
    </row>
    <row r="30" spans="2:4" ht="12.75">
      <c r="B30" s="236">
        <v>40635</v>
      </c>
      <c r="C30" s="238"/>
      <c r="D30" s="238">
        <v>12.89</v>
      </c>
    </row>
    <row r="31" spans="2:4" ht="12.75">
      <c r="B31" s="236">
        <v>40664</v>
      </c>
      <c r="C31" s="238"/>
      <c r="D31" s="238">
        <v>6</v>
      </c>
    </row>
    <row r="32" spans="2:4" ht="12.75">
      <c r="B32" s="236">
        <v>40695</v>
      </c>
      <c r="C32" s="238"/>
      <c r="D32" s="238">
        <v>6</v>
      </c>
    </row>
    <row r="33" spans="2:4" ht="12.75">
      <c r="B33" s="236">
        <v>40725</v>
      </c>
      <c r="C33" s="238"/>
      <c r="D33" s="238">
        <v>12.04</v>
      </c>
    </row>
    <row r="34" spans="2:4" ht="12.75">
      <c r="B34" s="236">
        <v>40726</v>
      </c>
      <c r="C34" s="238"/>
      <c r="D34" s="238">
        <f>18.5+25.41</f>
        <v>43.91</v>
      </c>
    </row>
    <row r="35" spans="2:4" ht="12.75">
      <c r="B35" s="236">
        <v>40756</v>
      </c>
      <c r="C35" s="238"/>
      <c r="D35" s="238">
        <v>6</v>
      </c>
    </row>
    <row r="36" spans="2:4" ht="12.75">
      <c r="B36" s="236" t="s">
        <v>442</v>
      </c>
      <c r="C36" s="238"/>
      <c r="D36" s="238">
        <v>6</v>
      </c>
    </row>
    <row r="37" spans="2:4" ht="12.75">
      <c r="B37" s="236">
        <v>40817</v>
      </c>
      <c r="C37" s="238">
        <v>4.51</v>
      </c>
      <c r="D37" s="238">
        <v>4.25</v>
      </c>
    </row>
    <row r="38" spans="2:4" ht="12.75">
      <c r="B38" s="236">
        <v>40818</v>
      </c>
      <c r="C38" s="238"/>
      <c r="D38" s="238">
        <v>64.85</v>
      </c>
    </row>
    <row r="39" spans="2:4" ht="12.75">
      <c r="B39" s="236">
        <v>40848</v>
      </c>
      <c r="C39" s="238"/>
      <c r="D39" s="238">
        <v>3.5</v>
      </c>
    </row>
    <row r="40" spans="2:4" ht="12.75">
      <c r="B40" s="236">
        <v>40878</v>
      </c>
      <c r="C40" s="238"/>
      <c r="D40" s="238">
        <v>4.25</v>
      </c>
    </row>
    <row r="41" spans="2:4" ht="12.75">
      <c r="B41" s="236"/>
      <c r="C41" s="238"/>
      <c r="D41" s="238"/>
    </row>
    <row r="42" spans="2:4" ht="12.75">
      <c r="B42" s="239" t="s">
        <v>83</v>
      </c>
      <c r="C42" s="240">
        <f>SUM(C22:C40)</f>
        <v>37.08</v>
      </c>
      <c r="D42" s="240">
        <f>SUM(D22:D41)</f>
        <v>218.73</v>
      </c>
    </row>
    <row r="43" spans="2:4" ht="12.75">
      <c r="B43" s="236"/>
      <c r="C43" s="238"/>
      <c r="D43" s="238"/>
    </row>
    <row r="44" spans="2:4" ht="12.75">
      <c r="B44" s="236"/>
      <c r="C44" s="238"/>
      <c r="D44" s="238"/>
    </row>
    <row r="45" spans="2:4" ht="12.75">
      <c r="B45" s="236"/>
      <c r="C45" s="238"/>
      <c r="D45" s="238"/>
    </row>
    <row r="46" spans="2:4" ht="12.75">
      <c r="B46" s="236"/>
      <c r="C46" s="238"/>
      <c r="D46" s="238"/>
    </row>
    <row r="47" spans="2:4" ht="12.75">
      <c r="B47" s="236"/>
      <c r="C47" s="238"/>
      <c r="D47" s="238"/>
    </row>
    <row r="48" spans="2:4" ht="12.75">
      <c r="B48" s="236"/>
      <c r="C48" s="238"/>
      <c r="D48" s="238"/>
    </row>
    <row r="49" spans="2:4" ht="12.75">
      <c r="B49" s="236"/>
      <c r="C49" s="238"/>
      <c r="D49" s="238"/>
    </row>
    <row r="50" spans="2:4" ht="12.75">
      <c r="B50" s="236"/>
      <c r="C50" s="238"/>
      <c r="D50" s="238"/>
    </row>
    <row r="51" spans="2:4" ht="12.75">
      <c r="B51" s="236"/>
      <c r="C51" s="238"/>
      <c r="D51" s="238"/>
    </row>
    <row r="52" spans="2:4" ht="12.75">
      <c r="B52" s="236"/>
      <c r="C52" s="238"/>
      <c r="D52" s="238"/>
    </row>
    <row r="53" spans="2:4" ht="12.75">
      <c r="B53" s="236"/>
      <c r="C53" s="238"/>
      <c r="D53" s="238"/>
    </row>
    <row r="54" spans="2:4" ht="12.75">
      <c r="B54" s="236"/>
      <c r="C54" s="238"/>
      <c r="D54" s="238"/>
    </row>
    <row r="55" spans="2:4" ht="12.75">
      <c r="B55" s="236"/>
      <c r="C55" s="238"/>
      <c r="D55" s="238"/>
    </row>
    <row r="56" spans="2:4" ht="12.75">
      <c r="B56" s="236"/>
      <c r="C56" s="238"/>
      <c r="D56" s="2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2" zoomScaleNormal="110" zoomScaleSheetLayoutView="82" workbookViewId="0" topLeftCell="A1">
      <selection activeCell="G27" sqref="G27"/>
    </sheetView>
  </sheetViews>
  <sheetFormatPr defaultColWidth="9.140625" defaultRowHeight="12.75"/>
  <cols>
    <col min="1" max="1" width="2.7109375" style="0" customWidth="1"/>
    <col min="2" max="2" width="22.421875" style="0" customWidth="1"/>
    <col min="3" max="3" width="15.28125" style="0" customWidth="1"/>
    <col min="4" max="4" width="12.140625" style="0" customWidth="1"/>
    <col min="5" max="5" width="16.28125" style="0" customWidth="1"/>
    <col min="6" max="6" width="31.00390625" style="0" customWidth="1"/>
    <col min="7" max="7" width="14.00390625" style="0" customWidth="1"/>
    <col min="8" max="8" width="12.7109375" style="12" customWidth="1"/>
    <col min="9" max="9" width="10.8515625" style="12" customWidth="1"/>
    <col min="10" max="10" width="9.140625" style="28" customWidth="1"/>
    <col min="11" max="11" width="12.57421875" style="28" customWidth="1"/>
    <col min="12" max="15" width="9.00390625" style="28" customWidth="1"/>
  </cols>
  <sheetData>
    <row r="1" spans="2:7" ht="15">
      <c r="B1" s="241" t="s">
        <v>451</v>
      </c>
      <c r="C1" s="129"/>
      <c r="D1" s="130"/>
      <c r="E1" s="129"/>
      <c r="F1" s="131"/>
      <c r="G1" s="131"/>
    </row>
    <row r="2" spans="2:7" ht="12.75">
      <c r="B2" s="129"/>
      <c r="D2" s="133"/>
      <c r="F2" s="28"/>
      <c r="G2" s="28"/>
    </row>
    <row r="3" spans="1:7" ht="12.75">
      <c r="A3" s="134"/>
      <c r="B3" s="242" t="s">
        <v>452</v>
      </c>
      <c r="C3" s="134" t="s">
        <v>258</v>
      </c>
      <c r="D3" s="136"/>
      <c r="E3" s="137"/>
      <c r="F3" s="134" t="s">
        <v>453</v>
      </c>
      <c r="G3" s="134"/>
    </row>
    <row r="4" spans="1:7" ht="12.75">
      <c r="A4" s="28"/>
      <c r="B4" s="131"/>
      <c r="C4" s="28"/>
      <c r="D4" s="133"/>
      <c r="E4" s="139"/>
      <c r="F4" s="28"/>
      <c r="G4" s="28"/>
    </row>
    <row r="5" spans="1:9" ht="12.75">
      <c r="A5" s="28"/>
      <c r="B5" s="243"/>
      <c r="C5" s="28"/>
      <c r="D5" s="140" t="s">
        <v>259</v>
      </c>
      <c r="E5" s="141" t="s">
        <v>454</v>
      </c>
      <c r="F5" s="28"/>
      <c r="G5" s="244"/>
      <c r="H5" s="245"/>
      <c r="I5" s="245"/>
    </row>
    <row r="6" spans="1:7" ht="12.75">
      <c r="A6" s="246">
        <v>1</v>
      </c>
      <c r="B6" s="243" t="s">
        <v>455</v>
      </c>
      <c r="C6" s="28" t="s">
        <v>456</v>
      </c>
      <c r="D6" s="143">
        <v>40022</v>
      </c>
      <c r="E6" s="144">
        <v>12500</v>
      </c>
      <c r="F6" s="28" t="s">
        <v>457</v>
      </c>
      <c r="G6" s="28"/>
    </row>
    <row r="7" spans="1:7" ht="12.75">
      <c r="A7" s="246">
        <v>2</v>
      </c>
      <c r="B7" s="243" t="s">
        <v>458</v>
      </c>
      <c r="C7" s="28" t="s">
        <v>459</v>
      </c>
      <c r="D7" s="145">
        <v>40028</v>
      </c>
      <c r="E7" s="146">
        <v>10000</v>
      </c>
      <c r="F7" s="28" t="s">
        <v>457</v>
      </c>
      <c r="G7" s="28"/>
    </row>
    <row r="8" spans="1:7" ht="12.75">
      <c r="A8" s="246">
        <v>3</v>
      </c>
      <c r="B8" s="243" t="s">
        <v>460</v>
      </c>
      <c r="C8" s="28" t="s">
        <v>461</v>
      </c>
      <c r="D8" s="145">
        <v>40028</v>
      </c>
      <c r="E8" s="146">
        <v>10000</v>
      </c>
      <c r="F8" s="28" t="s">
        <v>462</v>
      </c>
      <c r="G8" s="28"/>
    </row>
    <row r="9" spans="1:7" ht="12.75">
      <c r="A9" s="246">
        <v>4</v>
      </c>
      <c r="B9" s="243" t="s">
        <v>463</v>
      </c>
      <c r="C9" s="28" t="s">
        <v>464</v>
      </c>
      <c r="D9" s="145">
        <v>40021</v>
      </c>
      <c r="E9" s="146">
        <v>12500</v>
      </c>
      <c r="F9" s="28" t="s">
        <v>457</v>
      </c>
      <c r="G9" s="28"/>
    </row>
    <row r="10" spans="1:7" ht="12.75">
      <c r="A10" s="246">
        <v>5</v>
      </c>
      <c r="B10" s="243" t="s">
        <v>465</v>
      </c>
      <c r="C10" s="28" t="s">
        <v>353</v>
      </c>
      <c r="D10" s="145">
        <v>40023</v>
      </c>
      <c r="E10" s="146">
        <v>10000</v>
      </c>
      <c r="F10" s="28" t="s">
        <v>462</v>
      </c>
      <c r="G10" s="28"/>
    </row>
    <row r="11" spans="1:7" ht="12.75">
      <c r="A11" s="246">
        <v>6</v>
      </c>
      <c r="B11" s="243" t="s">
        <v>466</v>
      </c>
      <c r="C11" s="28" t="s">
        <v>467</v>
      </c>
      <c r="D11" s="145">
        <v>40024</v>
      </c>
      <c r="E11" s="146">
        <v>7500</v>
      </c>
      <c r="F11" s="28" t="s">
        <v>462</v>
      </c>
      <c r="G11" s="28"/>
    </row>
    <row r="12" spans="1:7" ht="12.75">
      <c r="A12" s="246">
        <v>7</v>
      </c>
      <c r="B12" s="243" t="s">
        <v>468</v>
      </c>
      <c r="C12" s="28" t="s">
        <v>469</v>
      </c>
      <c r="D12" s="145">
        <v>40029</v>
      </c>
      <c r="E12" s="146">
        <v>10000</v>
      </c>
      <c r="F12" s="28" t="s">
        <v>457</v>
      </c>
      <c r="G12" s="28"/>
    </row>
    <row r="13" spans="1:7" ht="12.75">
      <c r="A13" s="246">
        <v>8</v>
      </c>
      <c r="B13" s="243" t="s">
        <v>470</v>
      </c>
      <c r="C13" s="28" t="s">
        <v>391</v>
      </c>
      <c r="D13" s="145">
        <v>40023</v>
      </c>
      <c r="E13" s="146">
        <v>7500</v>
      </c>
      <c r="F13" s="28" t="s">
        <v>457</v>
      </c>
      <c r="G13" s="28"/>
    </row>
    <row r="14" spans="1:7" ht="12.75">
      <c r="A14" s="246">
        <v>9</v>
      </c>
      <c r="B14" s="243" t="s">
        <v>471</v>
      </c>
      <c r="C14" s="28" t="s">
        <v>472</v>
      </c>
      <c r="D14" s="145">
        <v>40028</v>
      </c>
      <c r="E14" s="146">
        <v>7500</v>
      </c>
      <c r="F14" s="28" t="s">
        <v>457</v>
      </c>
      <c r="G14" s="28"/>
    </row>
    <row r="15" spans="1:7" ht="12.75">
      <c r="A15" s="246">
        <v>10</v>
      </c>
      <c r="B15" s="243" t="s">
        <v>473</v>
      </c>
      <c r="C15" s="28" t="s">
        <v>474</v>
      </c>
      <c r="D15" s="145">
        <v>40024</v>
      </c>
      <c r="E15" s="146">
        <v>7500</v>
      </c>
      <c r="F15" s="28" t="s">
        <v>462</v>
      </c>
      <c r="G15" s="28"/>
    </row>
    <row r="16" spans="1:7" ht="12.75">
      <c r="A16" s="246">
        <v>11</v>
      </c>
      <c r="B16" s="243" t="s">
        <v>475</v>
      </c>
      <c r="C16" s="28" t="s">
        <v>476</v>
      </c>
      <c r="D16" s="145">
        <v>40028</v>
      </c>
      <c r="E16" s="146">
        <v>10000</v>
      </c>
      <c r="F16" s="28" t="s">
        <v>457</v>
      </c>
      <c r="G16" s="28"/>
    </row>
    <row r="17" spans="1:7" ht="12.75">
      <c r="A17" s="246">
        <v>12</v>
      </c>
      <c r="B17" s="243" t="s">
        <v>477</v>
      </c>
      <c r="C17" s="28" t="s">
        <v>478</v>
      </c>
      <c r="D17" s="145">
        <v>40028</v>
      </c>
      <c r="E17" s="146">
        <v>7500</v>
      </c>
      <c r="F17" s="28" t="s">
        <v>462</v>
      </c>
      <c r="G17" s="28"/>
    </row>
    <row r="18" spans="1:7" ht="12.75">
      <c r="A18" s="246">
        <v>13</v>
      </c>
      <c r="B18" s="243" t="s">
        <v>479</v>
      </c>
      <c r="C18" s="28" t="s">
        <v>480</v>
      </c>
      <c r="D18" s="145">
        <v>40028</v>
      </c>
      <c r="E18" s="146">
        <v>10000</v>
      </c>
      <c r="F18" s="28" t="s">
        <v>462</v>
      </c>
      <c r="G18" s="28"/>
    </row>
    <row r="19" spans="1:9" ht="12.75">
      <c r="A19" s="28"/>
      <c r="B19" s="28"/>
      <c r="C19" s="28"/>
      <c r="D19" s="133"/>
      <c r="E19" s="147">
        <f>SUM(E6:E18)</f>
        <v>122500</v>
      </c>
      <c r="F19" s="28"/>
      <c r="G19" s="28"/>
      <c r="H19" s="221"/>
      <c r="I19" s="221"/>
    </row>
    <row r="21" ht="12.75">
      <c r="B21" t="s">
        <v>481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KLM</dc:creator>
  <cp:keywords/>
  <dc:description/>
  <cp:lastModifiedBy/>
  <cp:lastPrinted>2011-03-16T21:30:44Z</cp:lastPrinted>
  <dcterms:created xsi:type="dcterms:W3CDTF">2002-01-06T19:50:55Z</dcterms:created>
  <dcterms:modified xsi:type="dcterms:W3CDTF">2011-03-16T22:44:35Z</dcterms:modified>
  <cp:category/>
  <cp:version/>
  <cp:contentType/>
  <cp:contentStatus/>
  <cp:revision>89</cp:revision>
</cp:coreProperties>
</file>